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J9DyFYYcwC4AC7l/2/m/C39w5VYMS73ukd7s3TgvvB1gVexk93R3lg/9Y2+MpXXyyPCY/CXLLTaJMr1kV+/hfg==" workbookSaltValue="3oQ6Gi/jew6muZFupOy1z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L22" i="2" s="1"/>
  <c r="K21" i="2"/>
  <c r="K20" i="2"/>
  <c r="L20" i="2" s="1"/>
  <c r="K19" i="2"/>
  <c r="K18" i="2"/>
  <c r="L18" i="2" s="1"/>
  <c r="K17" i="2"/>
  <c r="K16" i="2"/>
  <c r="K23" i="2" s="1"/>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14" i="2" s="1"/>
  <c r="N9" i="2"/>
  <c r="M29" i="2"/>
  <c r="M28" i="2"/>
  <c r="M25" i="2"/>
  <c r="M22" i="2"/>
  <c r="M21" i="2"/>
  <c r="M20" i="2"/>
  <c r="M19" i="2"/>
  <c r="M18" i="2"/>
  <c r="M17" i="2"/>
  <c r="M16" i="2"/>
  <c r="M13" i="2"/>
  <c r="M12" i="2"/>
  <c r="M11" i="2"/>
  <c r="M10" i="2"/>
  <c r="M9" i="2"/>
  <c r="M14" i="2" s="1"/>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N26" i="2"/>
  <c r="M23" i="2"/>
  <c r="N23" i="2"/>
  <c r="F30" i="17"/>
  <c r="F14" i="7"/>
  <c r="BK21" i="11"/>
  <c r="V13" i="11"/>
  <c r="AP22" i="20"/>
  <c r="BL25" i="11"/>
  <c r="BM20" i="11"/>
  <c r="BU28" i="17"/>
  <c r="BW9" i="20"/>
  <c r="BV17" i="16"/>
  <c r="BV25" i="16"/>
  <c r="BW16" i="20"/>
  <c r="U10" i="17"/>
  <c r="BV10" i="16"/>
  <c r="BU18" i="17"/>
  <c r="S11" i="17"/>
  <c r="BV20" i="16"/>
  <c r="T14" i="16"/>
  <c r="AZ22" i="11"/>
  <c r="R28" i="14"/>
  <c r="X16" i="17"/>
  <c r="T17" i="11"/>
  <c r="P16" i="17"/>
  <c r="BF12" i="11"/>
  <c r="BH25" i="16"/>
  <c r="BK20" i="11"/>
  <c r="BJ10" i="11"/>
  <c r="BK17" i="11"/>
  <c r="Q16" i="17"/>
  <c r="BM18" i="11"/>
  <c r="BF16" i="11"/>
  <c r="BH17" i="11"/>
  <c r="BL22" i="11"/>
  <c r="AQ12" i="21"/>
  <c r="BI22" i="11"/>
  <c r="BH25" i="11"/>
  <c r="BK10" i="11"/>
  <c r="BI21" i="11"/>
  <c r="T14" i="20"/>
  <c r="BF25" i="8"/>
  <c r="BG16" i="8"/>
  <c r="BD9" i="8"/>
  <c r="BF9" i="8"/>
  <c r="C30" i="7"/>
  <c r="L29" i="2"/>
  <c r="L16" i="2"/>
  <c r="L17" i="2"/>
  <c r="X19" i="16"/>
  <c r="AO14" i="21"/>
  <c r="AA11" i="16"/>
  <c r="L21" i="2"/>
  <c r="AP14" i="16"/>
  <c r="AA9" i="16"/>
  <c r="V9" i="16"/>
  <c r="T23" i="17"/>
  <c r="T26" i="17" s="1"/>
  <c r="T30" i="17" s="1"/>
  <c r="BG16" i="13"/>
  <c r="BE17" i="13"/>
  <c r="BE16" i="13"/>
  <c r="G30" i="14"/>
  <c r="G23" i="14"/>
  <c r="X32" i="20"/>
  <c r="BF17" i="8" l="1"/>
  <c r="AK31" i="8"/>
  <c r="BD12" i="8"/>
  <c r="AY14" i="8"/>
  <c r="B16" i="6"/>
  <c r="H21" i="2"/>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AZ25" i="11"/>
  <c r="AZ30" i="11" s="1"/>
  <c r="BH21" i="11"/>
  <c r="BL16" i="11"/>
  <c r="BL20" i="11"/>
  <c r="S16" i="16"/>
  <c r="BF20" i="11"/>
  <c r="AZ17" i="11"/>
  <c r="AA20" i="16"/>
  <c r="BU17" i="17"/>
  <c r="BV29" i="16"/>
  <c r="BW22" i="20"/>
  <c r="BW29" i="20"/>
  <c r="BU20" i="17"/>
  <c r="BV11" i="16"/>
  <c r="BW17" i="20"/>
  <c r="BU21" i="17"/>
  <c r="BU11" i="17"/>
  <c r="BJ28" i="11"/>
  <c r="AZ9" i="11"/>
  <c r="AZ14" i="11" s="1"/>
  <c r="AZ13" i="11"/>
  <c r="BI19" i="11"/>
  <c r="BI25" i="11"/>
  <c r="BG22" i="11"/>
  <c r="Q18" i="20"/>
  <c r="Q23" i="20" s="1"/>
  <c r="V16" i="11"/>
  <c r="Z14" i="17"/>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9" i="17"/>
  <c r="BV21" i="16"/>
  <c r="BW13" i="20"/>
  <c r="BV13" i="16"/>
  <c r="BV28" i="16"/>
  <c r="BU25" i="17"/>
  <c r="BG21" i="11"/>
  <c r="AP18" i="20"/>
  <c r="AP26" i="21"/>
  <c r="BG19" i="11"/>
  <c r="V20" i="11"/>
  <c r="AP16" i="20"/>
  <c r="BJ16" i="11"/>
  <c r="V9" i="11"/>
  <c r="BM12" i="11"/>
  <c r="V11" i="11"/>
  <c r="BK29" i="11"/>
  <c r="BG20" i="11"/>
  <c r="BF28" i="11"/>
  <c r="BH16" i="16"/>
  <c r="BF13" i="11"/>
  <c r="BH9"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K9" i="12" l="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<sst xmlns="http://schemas.openxmlformats.org/spreadsheetml/2006/main" count="2654" uniqueCount="1184">
  <si>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</si>
  <si>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</si>
  <si>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</si>
  <si>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</si>
  <si>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</si>
  <si>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</si>
  <si>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</si>
  <si>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</si>
  <si>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</si>
  <si>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</si>
  <si>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</si>
  <si>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</si>
  <si>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</si>
  <si>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</si>
  <si>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</si>
  <si>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</si>
  <si>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</si>
  <si>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</si>
  <si>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</si>
  <si>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</si>
  <si>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</si>
  <si>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</si>
  <si>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</si>
  <si>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</si>
  <si>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</si>
  <si>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</si>
  <si>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</si>
  <si>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</si>
  <si>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</si>
  <si>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</si>
  <si>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</si>
  <si>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</si>
  <si>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</si>
  <si>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</si>
  <si>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</si>
  <si>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</si>
  <si>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</si>
  <si>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</si>
  <si>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</si>
  <si>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</si>
  <si>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</si>
  <si>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</si>
  <si>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</si>
  <si>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</si>
  <si>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</si>
  <si>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</si>
  <si>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</si>
  <si>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</si>
  <si>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</si>
  <si>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</si>
  <si>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</si>
  <si>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</si>
  <si>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</si>
  <si>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</si>
  <si>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</si>
  <si>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</si>
  <si>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</si>
  <si>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</si>
  <si>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</si>
  <si>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</si>
  <si>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</si>
  <si>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</si>
  <si>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</si>
  <si>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</si>
  <si>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</si>
  <si>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</si>
  <si>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</si>
  <si>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</si>
  <si>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</si>
  <si>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</si>
  <si>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</si>
  <si>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</si>
  <si>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</si>
  <si>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</si>
  <si>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</si>
  <si>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</si>
  <si>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</si>
  <si>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</si>
  <si>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</si>
  <si>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</si>
  <si>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</si>
  <si>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</si>
  <si>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</si>
  <si>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</si>
  <si>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</si>
  <si>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</si>
  <si>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</si>
  <si>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</si>
  <si>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</si>
  <si>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</si>
  <si>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</si>
  <si>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</si>
  <si>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</si>
  <si>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</si>
  <si>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</si>
  <si>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</si>
  <si>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</si>
  <si>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</si>
  <si>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</si>
  <si>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</si>
  <si>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</si>
  <si>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</si>
  <si>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</si>
  <si>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</si>
  <si>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</si>
  <si>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</si>
  <si>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</si>
  <si>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</si>
  <si>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</si>
  <si>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</si>
  <si>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</si>
  <si>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</si>
  <si>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</si>
  <si>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</si>
  <si>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</si>
  <si>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</si>
  <si>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</si>
  <si>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</si>
  <si>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</si>
  <si>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</si>
  <si>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</si>
  <si>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</si>
  <si>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</si>
  <si>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</si>
  <si>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</si>
  <si>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</si>
  <si>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</si>
  <si>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</si>
  <si>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</si>
  <si>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</si>
  <si>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</si>
  <si>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</si>
  <si>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</si>
  <si>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</si>
  <si>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</si>
  <si>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</si>
  <si>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</si>
  <si>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</si>
  <si>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</si>
  <si>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</si>
  <si>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</si>
  <si>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</si>
  <si>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</si>
  <si>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</si>
  <si>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</si>
  <si>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</si>
  <si>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</si>
  <si>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</si>
  <si>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</si>
  <si>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</si>
  <si>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</si>
  <si>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</si>
  <si>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</si>
  <si>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</si>
  <si>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</si>
  <si>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</si>
  <si>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</si>
  <si>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</si>
  <si>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</si>
  <si>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</si>
  <si>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</si>
  <si>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</si>
  <si>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</si>
  <si>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</si>
  <si>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</si>
  <si>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</si>
  <si>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</si>
  <si>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</si>
  <si>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</si>
  <si>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</si>
  <si>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</si>
  <si>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</si>
  <si>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</si>
  <si>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</si>
  <si>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</si>
  <si>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</si>
  <si>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</si>
  <si>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</si>
  <si>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</si>
  <si>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</si>
  <si>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</si>
  <si>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</si>
  <si>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</si>
  <si>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</si>
  <si>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</si>
  <si>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</si>
  <si>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</si>
  <si>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</si>
  <si>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</si>
  <si>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</si>
  <si>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</si>
  <si>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</si>
  <si>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</si>
  <si>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</si>
  <si>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</si>
  <si>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</si>
  <si>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</si>
  <si>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</si>
  <si>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</si>
  <si>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</si>
  <si>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</si>
  <si>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</si>
  <si>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</si>
  <si>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</si>
  <si>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</si>
  <si>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</si>
  <si>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</si>
  <si>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</si>
  <si>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</si>
  <si>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</si>
  <si>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</si>
  <si>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</si>
  <si>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</si>
  <si>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</si>
  <si>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</si>
  <si>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</si>
  <si>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</si>
  <si>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</si>
  <si>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</si>
  <si>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</si>
  <si>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</si>
  <si>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</si>
  <si>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</si>
  <si>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</si>
  <si>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</si>
  <si>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</si>
  <si>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</si>
  <si>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</si>
  <si>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</si>
  <si>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</si>
  <si>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</si>
  <si>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</si>
  <si>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</si>
  <si>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</si>
  <si>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</si>
  <si>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</si>
  <si>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</si>
  <si>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</si>
  <si>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</si>
  <si>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</si>
  <si>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</si>
  <si>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</si>
  <si>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</si>
  <si>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</si>
  <si>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</si>
  <si>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</si>
  <si>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</si>
  <si>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</si>
  <si>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</si>
  <si>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</si>
  <si>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</si>
  <si>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</si>
  <si>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</si>
  <si>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</si>
  <si>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</si>
  <si>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</si>
  <si>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</si>
  <si>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</si>
  <si>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</si>
  <si>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</si>
  <si>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</si>
  <si>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</si>
  <si>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</si>
  <si>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</si>
  <si>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</si>
  <si>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</si>
  <si>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</si>
  <si>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</si>
  <si>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</si>
  <si>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</si>
  <si>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</si>
  <si>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</si>
  <si>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</si>
  <si>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</si>
  <si>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</si>
  <si>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</si>
  <si>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</si>
  <si>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</si>
  <si>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</si>
  <si>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</si>
  <si>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</si>
  <si>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</si>
  <si>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</si>
  <si>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</si>
  <si>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</si>
  <si>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</si>
  <si>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</si>
  <si>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</si>
  <si>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</si>
  <si>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</si>
  <si>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</si>
  <si>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</si>
  <si>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</si>
  <si>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</si>
  <si>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</si>
  <si>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</si>
  <si>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</si>
  <si>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</si>
  <si>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</si>
  <si>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</si>
  <si>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</si>
  <si>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</si>
  <si>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</si>
  <si>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</si>
  <si>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</si>
  <si>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</si>
  <si>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</si>
  <si>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</si>
  <si>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</si>
  <si>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</si>
  <si>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</si>
  <si>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</si>
  <si>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</si>
  <si>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</si>
  <si>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</si>
  <si>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</si>
  <si>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</si>
  <si>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</si>
  <si>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</si>
  <si>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</si>
  <si>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</si>
  <si>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</si>
  <si>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</si>
  <si>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</si>
  <si>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</si>
  <si>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</si>
  <si>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</si>
  <si>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</si>
  <si>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</si>
  <si>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</si>
  <si>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</si>
  <si>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</si>
  <si>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</si>
  <si>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</si>
  <si>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</si>
  <si>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</si>
  <si>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</si>
  <si>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</si>
  <si>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</si>
  <si>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</si>
  <si>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</si>
  <si>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</si>
  <si>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</si>
  <si>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</si>
  <si>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</si>
  <si>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</si>
  <si>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</si>
  <si>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</si>
  <si>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</si>
  <si>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</si>
  <si>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</si>
  <si>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</si>
  <si>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</si>
  <si>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</si>
  <si>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</si>
  <si>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</si>
  <si>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</si>
  <si>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</si>
  <si>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</si>
  <si>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</si>
  <si>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</si>
  <si>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</si>
  <si>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</si>
  <si>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</si>
  <si>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</si>
  <si>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</si>
  <si>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</si>
  <si>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</si>
  <si>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</si>
  <si>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</si>
  <si>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</si>
  <si>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</si>
  <si>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</si>
  <si>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</si>
  <si>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</si>
  <si>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</si>
  <si>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</si>
  <si>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</si>
  <si>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</si>
  <si>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</si>
  <si>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</si>
  <si>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</si>
  <si>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</si>
  <si>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</si>
  <si>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</si>
  <si>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</si>
  <si>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</si>
  <si>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</si>
  <si>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</si>
  <si>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</si>
  <si>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</si>
  <si>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</si>
  <si>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</si>
  <si>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</si>
  <si>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</si>
  <si>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</si>
  <si>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</si>
  <si>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</si>
  <si>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</si>
  <si>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</si>
  <si>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</si>
  <si>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</si>
  <si>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</si>
  <si>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</si>
  <si>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</si>
  <si>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</si>
  <si>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</si>
  <si>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</si>
  <si>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</si>
  <si>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</si>
  <si>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</si>
  <si>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</si>
  <si>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</si>
  <si>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</si>
  <si>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</si>
  <si>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</si>
  <si>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</si>
  <si>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</si>
  <si>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</si>
  <si>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</si>
  <si>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</si>
  <si>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</si>
  <si>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</si>
  <si>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</si>
  <si>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</si>
  <si>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</si>
  <si>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</si>
  <si>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</si>
  <si>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</si>
  <si>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</si>
  <si>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</si>
  <si>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</si>
  <si>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</si>
  <si>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</si>
  <si>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</si>
  <si>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</si>
  <si>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</si>
  <si>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</si>
  <si>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</si>
  <si>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</si>
  <si>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</si>
  <si>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</si>
  <si>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</si>
  <si>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</si>
  <si>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</si>
  <si>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</si>
  <si>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</si>
  <si>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</si>
  <si>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</si>
  <si>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</si>
  <si>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</si>
  <si>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</si>
  <si>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</si>
  <si>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</si>
  <si>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</si>
  <si>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</si>
  <si>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</si>
  <si>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</si>
  <si>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</si>
  <si>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</si>
  <si>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</si>
  <si>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</si>
  <si>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</si>
  <si>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</si>
  <si>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</si>
  <si>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</si>
  <si>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</si>
  <si>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</si>
  <si>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</si>
  <si>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</si>
  <si>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</si>
  <si>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</si>
  <si>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</si>
  <si>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</si>
  <si>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</si>
  <si>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</si>
  <si>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</si>
  <si>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</si>
  <si>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</si>
  <si>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</si>
  <si>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</si>
  <si>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</si>
  <si>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</si>
  <si>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</si>
  <si>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</si>
  <si>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</si>
  <si>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</si>
  <si>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</si>
  <si>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</si>
  <si>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</si>
  <si>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</si>
  <si>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</si>
  <si>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</si>
  <si>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</si>
  <si>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</si>
  <si>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</si>
  <si>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</si>
  <si>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</si>
  <si>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</si>
  <si>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</si>
  <si>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</si>
  <si>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</si>
  <si>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</si>
  <si>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</si>
  <si>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</si>
  <si>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</si>
  <si>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</si>
  <si>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</si>
  <si>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</si>
  <si>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</si>
  <si>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</si>
  <si>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</si>
  <si>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</si>
  <si>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</si>
  <si>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</si>
  <si>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</si>
  <si>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</si>
  <si>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</si>
  <si>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</si>
  <si>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</si>
  <si>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</si>
  <si>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</si>
  <si>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</si>
  <si>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</si>
  <si>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</si>
  <si>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</si>
  <si>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</si>
  <si>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</si>
  <si>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</si>
  <si>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</si>
  <si>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</si>
  <si>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</si>
  <si>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</si>
  <si>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</si>
  <si>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</si>
  <si>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</si>
  <si>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</si>
  <si>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</si>
  <si>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</si>
  <si>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</si>
  <si>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</si>
  <si>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</si>
  <si>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</si>
  <si>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</si>
  <si>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</si>
  <si>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</si>
  <si>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</si>
  <si>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</si>
  <si>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</si>
  <si>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</si>
  <si>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</si>
  <si>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</si>
  <si>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</si>
  <si>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</si>
  <si>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</si>
  <si>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</si>
  <si>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</si>
  <si>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</si>
  <si>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</si>
  <si>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</si>
  <si>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</si>
  <si>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</si>
  <si>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</si>
  <si>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</si>
  <si>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</si>
  <si>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</si>
  <si>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</si>
  <si>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</si>
  <si>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</si>
  <si>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</si>
  <si>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</si>
  <si>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</si>
  <si>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</si>
  <si>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</si>
  <si>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</si>
  <si>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</si>
  <si>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</si>
  <si>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</si>
  <si>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</si>
  <si>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</si>
  <si>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</si>
  <si>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</si>
  <si>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</si>
  <si>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</si>
  <si>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</si>
  <si>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</si>
  <si>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</si>
  <si>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</si>
  <si>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</si>
  <si>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</si>
  <si>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</si>
  <si>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</si>
  <si>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</si>
  <si>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</si>
  <si>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</si>
  <si>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</si>
  <si>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</si>
  <si>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</si>
  <si>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</si>
  <si>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</si>
  <si>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</si>
  <si>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</si>
  <si>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</si>
  <si>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</si>
  <si>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</si>
  <si>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</si>
  <si>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</si>
  <si>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</si>
  <si>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</si>
  <si>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</si>
  <si>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</si>
  <si>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</si>
  <si>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</si>
  <si>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</si>
  <si>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</si>
  <si>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</si>
  <si>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</si>
  <si>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</si>
  <si>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</si>
  <si>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</si>
  <si>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</si>
  <si>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</si>
  <si>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</si>
  <si>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</si>
  <si>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</si>
  <si>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</si>
  <si>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</si>
  <si>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</si>
  <si>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</si>
  <si>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</si>
  <si>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</si>
  <si>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</si>
  <si>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</si>
  <si>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</si>
  <si>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</si>
  <si>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</si>
  <si>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</si>
  <si>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</si>
  <si>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</si>
  <si>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</si>
  <si>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</si>
  <si>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</si>
  <si>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</si>
  <si>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</si>
  <si>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</si>
  <si>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</si>
  <si>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</si>
  <si>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</si>
  <si>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</si>
  <si>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</si>
  <si>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</si>
  <si>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</si>
  <si>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</si>
  <si>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</si>
  <si>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</si>
  <si>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</si>
  <si>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</si>
  <si>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</si>
  <si>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</si>
  <si>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</si>
  <si>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</si>
  <si>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</si>
  <si>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</si>
  <si>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</si>
  <si>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</si>
  <si>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</si>
  <si>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</si>
  <si>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</si>
  <si>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</si>
  <si>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</si>
  <si>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</si>
  <si>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</si>
  <si>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</si>
  <si>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</si>
  <si>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</si>
  <si>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</si>
  <si>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</si>
  <si>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</si>
  <si>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</si>
  <si>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</si>
  <si>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</si>
  <si>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</si>
  <si>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</si>
  <si>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</si>
  <si>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</si>
  <si>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</si>
  <si>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</si>
  <si>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</si>
  <si>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</si>
  <si>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</si>
  <si>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</si>
  <si>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</si>
  <si>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</si>
  <si>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</si>
  <si>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</si>
  <si>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</si>
  <si>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</si>
  <si>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</si>
  <si>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</si>
  <si>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</si>
  <si>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</si>
  <si>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</si>
  <si>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</si>
  <si>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</si>
  <si>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</si>
  <si>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</si>
  <si>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</si>
  <si>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</si>
  <si>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</si>
  <si>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</si>
  <si>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</si>
  <si>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</si>
  <si>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</si>
  <si>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</si>
  <si>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</si>
  <si>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</si>
  <si>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</si>
  <si>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</si>
  <si>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</si>
  <si>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</si>
  <si>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</si>
  <si>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</si>
  <si>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</si>
  <si>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</si>
  <si>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</si>
  <si>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</si>
  <si>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</si>
  <si>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</si>
  <si>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</si>
  <si>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</si>
  <si>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</si>
  <si>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</si>
  <si>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</si>
  <si>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</si>
  <si>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</si>
  <si>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</si>
  <si>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</si>
  <si>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</si>
  <si>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</si>
  <si>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</si>
  <si>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</si>
  <si>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</si>
  <si>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</si>
  <si>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</si>
  <si>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</si>
  <si>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</si>
  <si>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</si>
  <si>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</si>
  <si>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</si>
  <si>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</si>
  <si>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</si>
  <si>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</si>
  <si>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</si>
  <si>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</si>
  <si>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</si>
  <si>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</si>
  <si>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</si>
  <si>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</si>
  <si>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</si>
  <si>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</si>
  <si>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</si>
  <si>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</si>
  <si>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</si>
  <si>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</si>
  <si>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</si>
  <si>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</si>
  <si>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</si>
  <si>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</si>
  <si>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</si>
  <si>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</si>
  <si>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</si>
  <si>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</si>
  <si>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</si>
  <si>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</si>
  <si>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</si>
  <si>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</si>
  <si>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</si>
  <si>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</si>
  <si>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</si>
  <si>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</si>
  <si>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</si>
  <si>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</si>
  <si>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</si>
  <si>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</si>
  <si>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</si>
  <si>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</si>
  <si>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</si>
  <si>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</si>
  <si>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</si>
  <si>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</si>
  <si>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</si>
  <si>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</si>
  <si>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</si>
  <si>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</si>
  <si>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</si>
  <si>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</si>
  <si>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</si>
  <si>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</si>
  <si>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</si>
  <si>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</si>
  <si>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</si>
  <si>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</si>
  <si>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</si>
  <si>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</si>
  <si>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</si>
  <si>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</si>
  <si>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</si>
  <si>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</si>
  <si>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</si>
  <si>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</si>
  <si>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</si>
  <si>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</si>
  <si>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</si>
  <si>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</si>
  <si>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</si>
  <si>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</si>
  <si>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</si>
  <si>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</si>
  <si>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</si>
  <si>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</si>
  <si>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</si>
  <si>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</si>
  <si>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</si>
  <si>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</si>
  <si>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</si>
  <si>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</si>
  <si>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</si>
  <si>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</si>
  <si>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</si>
  <si>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</si>
  <si>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</si>
  <si>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</si>
  <si>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</si>
  <si>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</si>
  <si>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</si>
  <si>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</si>
  <si>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</si>
  <si>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</si>
  <si>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</si>
  <si>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</si>
  <si>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</si>
  <si>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</si>
  <si>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</si>
  <si>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</si>
  <si>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</si>
  <si>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</si>
  <si>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</si>
  <si>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</si>
  <si>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</si>
  <si>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</si>
  <si>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</si>
  <si>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</si>
  <si>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</si>
  <si>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</si>
  <si>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</si>
  <si>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</si>
  <si>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</si>
  <si>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</si>
  <si>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</si>
  <si>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</si>
  <si>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</si>
  <si>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</si>
  <si>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</si>
  <si>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</si>
  <si>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</si>
  <si>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</si>
  <si>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</si>
  <si>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</si>
  <si>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</si>
  <si>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</si>
  <si>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</si>
  <si>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</si>
  <si>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</si>
  <si>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</si>
  <si>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</si>
  <si>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</si>
  <si>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</si>
  <si>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</si>
  <si>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</si>
  <si>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</si>
  <si>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</si>
  <si>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</si>
  <si>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</si>
  <si>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</si>
  <si>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</si>
  <si>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</si>
  <si>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</si>
  <si>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</si>
  <si>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</si>
  <si>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</si>
  <si>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</si>
  <si>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</si>
  <si>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</si>
  <si>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</si>
  <si>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</si>
  <si>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</si>
  <si>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</si>
  <si>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</si>
  <si>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</si>
  <si>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</si>
  <si>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</si>
  <si>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</si>
  <si>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</si>
  <si>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</si>
  <si>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</si>
  <si>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</si>
  <si>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</si>
  <si>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</si>
  <si>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</si>
  <si>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</si>
  <si>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</si>
  <si>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</si>
  <si>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</si>
  <si>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</si>
  <si>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</si>
  <si>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</si>
  <si>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</si>
  <si>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</si>
  <si>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</si>
  <si>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</si>
  <si>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</si>
  <si>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</si>
  <si>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</si>
  <si>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</si>
  <si>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</si>
  <si>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</si>
  <si>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</si>
  <si>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</si>
  <si>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</si>
  <si>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</si>
  <si>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</si>
  <si>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</si>
  <si>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</si>
  <si>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</si>
  <si>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</si>
  <si>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</si>
  <si>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</si>
  <si>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</si>
  <si>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</si>
  <si>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</si>
  <si>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</si>
  <si>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</si>
  <si>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</si>
  <si>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</si>
  <si>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</si>
  <si>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</si>
  <si>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</si>
  <si>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</si>
  <si>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</si>
  <si>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</si>
  <si>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</si>
  <si>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</si>
  <si>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</si>
  <si>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</si>
  <si>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</si>
  <si>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</si>
  <si>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</si>
  <si>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</si>
  <si>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</si>
  <si>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</si>
  <si>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</si>
  <si>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</si>
  <si>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</si>
  <si>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</si>
  <si>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</si>
  <si>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</si>
  <si>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</si>
  <si>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</si>
  <si>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</si>
  <si>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</si>
  <si>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</si>
  <si>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</si>
  <si>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</si>
  <si>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</si>
  <si>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</si>
  <si>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</si>
  <si>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</si>
  <si>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</si>
  <si>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</si>
  <si>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</si>
  <si>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</si>
  <si>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</si>
  <si>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</si>
  <si>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</si>
  <si>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</si>
  <si>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</si>
  <si>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</si>
  <si>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</si>
  <si>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</si>
  <si>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</si>
  <si>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</si>
  <si>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</si>
  <si>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</si>
  <si>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</si>
  <si>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</si>
  <si>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</si>
  <si>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</si>
  <si>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</si>
  <si>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</si>
  <si>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</si>
  <si>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</si>
  <si>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</si>
  <si>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</si>
  <si>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</si>
  <si>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</si>
  <si>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</si>
  <si>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</si>
  <si>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</si>
  <si>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</si>
  <si>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</si>
  <si>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</si>
  <si>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</si>
  <si>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</si>
  <si>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</si>
  <si>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</si>
  <si>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</si>
  <si>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</si>
  <si>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</si>
  <si>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</si>
  <si>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</si>
  <si>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</si>
  <si>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</si>
  <si>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</si>
  <si>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</si>
  <si>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</si>
  <si>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</si>
  <si>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</si>
  <si>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</si>
  <si>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</si>
  <si>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</si>
  <si>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</si>
  <si>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</si>
  <si>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</si>
  <si>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</si>
  <si>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</si>
  <si>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</si>
  <si>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</si>
  <si>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</si>
  <si>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</si>
  <si>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</si>
  <si>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</si>
  <si>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</si>
  <si>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</si>
  <si>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</si>
  <si>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</si>
  <si>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</si>
  <si>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</si>
  <si>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</si>
  <si>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</si>
  <si>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</si>
  <si>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</si>
  <si>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</si>
  <si>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</si>
  <si>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</si>
  <si>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</si>
  <si>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</si>
  <si>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</si>
  <si>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</si>
  <si>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</si>
  <si>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</si>
  <si>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</si>
  <si>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</si>
  <si>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</si>
  <si>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</si>
  <si>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</si>
  <si>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</si>
  <si>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</si>
  <si>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</si>
  <si>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</si>
  <si>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</si>
  <si>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</si>
  <si>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</si>
  <si>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</si>
  <si>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</si>
  <si>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</si>
  <si>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</si>
  <si>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</si>
  <si>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</si>
  <si>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</si>
  <si>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</si>
  <si>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</si>
  <si>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</si>
  <si>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</si>
  <si>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</si>
  <si>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</si>
  <si>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</si>
  <si>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</si>
  <si>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</si>
  <si>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</si>
  <si>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</si>
  <si>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</si>
  <si>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</si>
  <si>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</si>
  <si>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</si>
  <si>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</si>
  <si>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</si>
  <si>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</si>
  <si>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</si>
  <si>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</si>
  <si>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</si>
  <si>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</si>
  <si>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</si>
  <si>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</si>
  <si>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</si>
  <si>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</si>
  <si>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</si>
  <si>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</si>
  <si>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</si>
  <si>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</si>
  <si>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</si>
  <si>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</si>
  <si>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</si>
  <si>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</si>
  <si>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</si>
  <si>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</si>
  <si>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</si>
  <si>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</si>
  <si>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</si>
  <si>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</si>
  <si>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</si>
  <si>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</si>
  <si>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</si>
  <si>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</si>
  <si>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</si>
  <si>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</si>
  <si>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</si>
  <si>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</si>
  <si>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</si>
  <si>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</si>
  <si>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</si>
  <si>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</si>
  <si>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</si>
  <si>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</si>
  <si>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</si>
  <si>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</si>
  <si>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</si>
  <si>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</si>
  <si>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</si>
  <si>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</si>
  <si>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</si>
  <si>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</si>
  <si>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</si>
  <si>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</si>
  <si>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</si>
  <si>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</si>
  <si>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</si>
  <si>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</si>
  <si>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</si>
  <si>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</si>
  <si>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</si>
  <si>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</si>
  <si>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</si>
  <si>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</si>
  <si>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</si>
  <si>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</si>
  <si>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</si>
  <si>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</si>
  <si>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</si>
  <si>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</si>
  <si>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</si>
  <si>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</si>
  <si>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</si>
  <si>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</si>
  <si>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</si>
  <si>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</si>
  <si>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</si>
  <si>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</si>
  <si>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</si>
  <si>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</si>
  <si>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</si>
  <si>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</si>
  <si>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</si>
  <si>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</si>
  <si>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</si>
  <si>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</si>
  <si>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</si>
  <si>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</si>
  <si>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</si>
  <si>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</si>
  <si>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</si>
  <si>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</si>
  <si>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</si>
  <si>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</si>
  <si>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TORREJON DE ARDOZ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</si>
</sst>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1179</v>
      </c>
      <c r="B9" s="421" t="s">
        <v>1180</v>
      </c>
      <c r="C9" s="418"/>
      <c r="D9" s="418"/>
      <c r="E9" s="427"/>
      <c r="F9" s="3"/>
    </row>
    <row r="10" spans="1:19">
      <c r="A10" s="426" t="s">
        <v>1181</v>
      </c>
      <c r="B10" s="418" t="s">
        <v>1180</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wNs9HN8qXcnFufIObI0/MBSEbGJm88vFnyU2Ot0IxP6WM+p5qo5k3VtxJyhUJK79NkgolA2cEVzaEtDRBLZLw==" saltValue="CWuzRHnwlHBcjkwetcf2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6.5671493212669692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111</v>
      </c>
      <c r="D10" s="239">
        <f>IF(ISNUMBER(Datos!I10),Datos!I10," - ")</f>
        <v>111</v>
      </c>
      <c r="E10" s="240">
        <f>IF(ISNUMBER(Datos!J10),Datos!J10," - ")</f>
        <v>178</v>
      </c>
      <c r="F10" s="240">
        <f>IF(ISNUMBER(Datos!K10),Datos!K10," - ")</f>
        <v>164</v>
      </c>
      <c r="G10" s="1390" t="str">
        <f>IF(Datos!E10&lt;&gt;"",Datos!E10,Datos!D10)</f>
        <v>37</v>
      </c>
      <c r="H10" s="241">
        <f>IF(ISNUMBER(Datos!L10),Datos!L10," - ")</f>
        <v>125</v>
      </c>
      <c r="I10" s="1400" t="str">
        <f>IF(ISNUMBER(Datos!AS10/Datos!BM10),Datos!AS10/Datos!BM10," - ")</f>
        <v xml:space="preserve"> - </v>
      </c>
      <c r="J10" s="1401">
        <f>IF(ISNUMBER(Datos!BY10/Datos!CN10),Datos!BY10/Datos!CN10," - ")</f>
        <v>0</v>
      </c>
      <c r="K10" s="244">
        <f t="shared" ref="K10:K13" si="1">IF(ISNUMBER((E10-F10)/C10),(E10-F10)/C10," - ")</f>
        <v>0.12612612612612611</v>
      </c>
      <c r="L10" s="1402">
        <f>IF(ISNUMBER(NºAsuntos!I10/NºAsuntos!G10),(NºAsuntos!I10/NºAsuntos!G10)*11," - ")</f>
        <v>8.3841463414634152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0</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111</v>
      </c>
      <c r="D14" s="1407">
        <f>SUBTOTAL(9,D9:D13)</f>
        <v>111</v>
      </c>
      <c r="E14" s="1408">
        <f>SUBTOTAL(9,E9:E13)</f>
        <v>178</v>
      </c>
      <c r="F14" s="1409">
        <f>SUBTOTAL(9,F9:F13)</f>
        <v>164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1243</v>
      </c>
      <c r="D16" s="239">
        <f>IF(ISNUMBER(IF(D_I="SI",Datos!I16,Datos!I16+Datos!AC16)),IF(D_I="SI",Datos!I16,Datos!I16+Datos!AC16)," - ")</f>
        <v>1037</v>
      </c>
      <c r="E16" s="240">
        <f>IF(ISNUMBER(IF(D_I="SI",Datos!J16,Datos!J16+Datos!AD16)),IF(D_I="SI",Datos!J16,Datos!J16+Datos!AD16)," - ")</f>
        <v>8260</v>
      </c>
      <c r="F16" s="240">
        <f>IF(ISNUMBER(IF(D_I="SI",Datos!K16,Datos!K16+Datos!AE16)),IF(D_I="SI",Datos!K16,Datos!K16+Datos!AE16)," - ")</f>
        <v>8459</v>
      </c>
      <c r="G16" s="1390" t="str">
        <f>IF(Datos!E16&lt;&gt;"",Datos!E16,Datos!D16)</f>
        <v>03</v>
      </c>
      <c r="H16" s="241">
        <f>IF(ISNUMBER(IF(D_I="SI",Datos!L16,Datos!L16+Datos!AF16)),IF(D_I="SI",Datos!L16,Datos!L16+Datos!AF16)," - ")</f>
        <v>1044</v>
      </c>
      <c r="I16" s="1400" t="str">
        <f>IF(ISNUMBER(Datos!AS16/Datos!BM16),Datos!AS16/Datos!BM16," - ")</f>
        <v xml:space="preserve"> - </v>
      </c>
      <c r="J16" s="1401">
        <f>IF(ISNUMBER(Datos!BY16/Datos!CN16),Datos!BY16/Datos!CN16," - ")</f>
        <v>0</v>
      </c>
      <c r="K16" s="244">
        <f t="shared" ref="K16:K22" si="3">IF(ISNUMBER((E16-F16)/C16),(E16-F16)/C16," - ")</f>
        <v>-0.16009654062751408</v>
      </c>
      <c r="L16" s="1402">
        <f>IF(ISNUMBER(NºAsuntos!I16/NºAsuntos!G16),(NºAsuntos!I16/NºAsuntos!G16)*11," - ")</f>
        <v>1.3576072821846554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10</v>
      </c>
      <c r="D17" s="239">
        <f>IF(ISNUMBER(IF(D_I="SI",Datos!I17,Datos!I17+Datos!AC17)),IF(D_I="SI",Datos!I17,Datos!I17+Datos!AC17)," - ")</f>
        <v>10</v>
      </c>
      <c r="E17" s="240">
        <f>IF(ISNUMBER(IF(D_I="SI",Datos!J17,Datos!J17+Datos!AD17)),IF(D_I="SI",Datos!J17,Datos!J17+Datos!AD17)," - ")</f>
        <v>0</v>
      </c>
      <c r="F17" s="240">
        <f>IF(ISNUMBER(IF(D_I="SI",Datos!K17,Datos!K17+Datos!AE17)),IF(D_I="SI",Datos!K17,Datos!K17+Datos!AE17)," - ")</f>
        <v>2</v>
      </c>
      <c r="G17" s="1390" t="str">
        <f>IF(Datos!E17&lt;&gt;"",Datos!E17,Datos!D17)</f>
        <v>04</v>
      </c>
      <c r="H17" s="241">
        <f>IF(ISNUMBER(IF(D_I="SI",Datos!L17,Datos!L17+Datos!AF17)),IF(D_I="SI",Datos!L17,Datos!L17+Datos!AF17)," - ")</f>
        <v>8</v>
      </c>
      <c r="I17" s="1400" t="str">
        <f>IF(ISNUMBER(Datos!AS17/Datos!BM17),Datos!AS17/Datos!BM17," - ")</f>
        <v xml:space="preserve"> - </v>
      </c>
      <c r="J17" s="1401">
        <f>IF(ISNUMBER(Datos!BY17/Datos!CN17),Datos!BY17/Datos!CN17," - ")</f>
        <v>0</v>
      </c>
      <c r="K17" s="244">
        <f t="shared" si="3"/>
        <v>-0.2</v>
      </c>
      <c r="L17" s="1402">
        <f>IF(ISNUMBER(NºAsuntos!I17/NºAsuntos!G17),(NºAsuntos!I17/NºAsuntos!G17)*11," - ")</f>
        <v>44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277</v>
      </c>
      <c r="D18" s="239">
        <f>IF(ISNUMBER(IF(D_I="SI",Datos!I18,Datos!I18+Datos!AC18)),IF(D_I="SI",Datos!I18,Datos!I18+Datos!AC18)," - ")</f>
        <v>259</v>
      </c>
      <c r="E18" s="240">
        <f>IF(ISNUMBER(IF(D_I="SI",Datos!J18,Datos!J18+Datos!AD18)),IF(D_I="SI",Datos!J18,Datos!J18+Datos!AD18)," - ")</f>
        <v>1582</v>
      </c>
      <c r="F18" s="240">
        <f>IF(ISNUMBER(IF(D_I="SI",Datos!K18,Datos!K18+Datos!AE18)),IF(D_I="SI",Datos!K18,Datos!K18+Datos!AE18)," - ")</f>
        <v>1612</v>
      </c>
      <c r="G18" s="1390" t="str">
        <f>IF(Datos!E18&lt;&gt;"",Datos!E18,Datos!D18)</f>
        <v>37</v>
      </c>
      <c r="H18" s="241">
        <f>IF(ISNUMBER(IF(D_I="SI",Datos!L18,Datos!L18+Datos!AF18)),IF(D_I="SI",Datos!L18,Datos!L18+Datos!AF18)," - ")</f>
        <v>247</v>
      </c>
      <c r="I18" s="1400" t="str">
        <f>IF(ISNUMBER(Datos!AS18/Datos!BM18),Datos!AS18/Datos!BM18," - ")</f>
        <v xml:space="preserve"> - </v>
      </c>
      <c r="J18" s="1401" t="str">
        <f>IF(ISNUMBER((Datos!BY18+Datos!BZ18)/Datos!CN18),(Datos!BY18+Datos!BZ18)/Datos!CN18," - ")</f>
        <v xml:space="preserve"> - </v>
      </c>
      <c r="K18" s="244">
        <f t="shared" si="3"/>
        <v>-0.10830324909747292</v>
      </c>
      <c r="L18" s="1402">
        <f>IF(ISNUMBER(NºAsuntos!I18/NºAsuntos!G18),(NºAsuntos!I18/NºAsuntos!G18)*11," - ")</f>
        <v>1.685483870967742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1530</v>
      </c>
      <c r="D23" s="1407">
        <f>SUBTOTAL(9,D16:D22)</f>
        <v>1306</v>
      </c>
      <c r="E23" s="1408">
        <f>SUBTOTAL(9,E16:E22)</f>
        <v>9842</v>
      </c>
      <c r="F23" s="1408">
        <f>SUBTOTAL(9,F16:F22)</f>
        <v>10073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1641</v>
      </c>
      <c r="D31" s="1435">
        <f>SUBTOTAL(9,D9:D30)</f>
        <v>1417</v>
      </c>
      <c r="E31" s="1436">
        <f>SUBTOTAL(9,E9:E30)</f>
        <v>10020</v>
      </c>
      <c r="F31" s="1436">
        <f>SUBTOTAL(9,F9:F30)</f>
        <v>10237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834</v>
      </c>
      <c r="O37" s="1711"/>
      <c r="P37" s="1711"/>
      <c r="Q37" s="1711"/>
      <c r="R37" s="1711"/>
      <c r="S37" s="1711"/>
      <c r="T37" s="1711"/>
      <c r="U37" s="1711"/>
      <c r="V37" s="1711"/>
      <c r="W37" s="1711"/>
      <c r="Y37" s="1711" t="s">
        <v>835</v>
      </c>
      <c r="Z37" s="1711"/>
      <c r="AA37" s="1711"/>
      <c r="AB37" s="1711"/>
      <c r="AC37" s="1711"/>
    </row>
    <row r="39" spans="2:29">
      <c r="N39" s="1386" t="s">
        <v>836</v>
      </c>
      <c r="O39" s="1706" t="s">
        <v>837</v>
      </c>
      <c r="P39" s="1706"/>
      <c r="Q39" s="1706"/>
      <c r="R39" s="1706"/>
      <c r="S39" s="1706"/>
      <c r="T39" s="1706"/>
      <c r="U39" s="1706"/>
      <c r="V39" s="1706"/>
      <c r="W39" s="1706"/>
      <c r="Y39" s="1386" t="s">
        <v>836</v>
      </c>
      <c r="Z39" s="1709" t="s">
        <v>838</v>
      </c>
      <c r="AA39" s="1709"/>
      <c r="AB39" s="1709"/>
      <c r="AC39" s="1709"/>
    </row>
    <row r="40" spans="2:29">
      <c r="N40" s="1386" t="s">
        <v>839</v>
      </c>
      <c r="O40" s="1706" t="s">
        <v>840</v>
      </c>
      <c r="P40" s="1706"/>
      <c r="Q40" s="1706"/>
      <c r="R40" s="1706"/>
      <c r="S40" s="1706"/>
      <c r="T40" s="1706"/>
      <c r="U40" s="1706"/>
      <c r="V40" s="1706"/>
      <c r="W40" s="1706"/>
      <c r="Y40" s="1386" t="s">
        <v>839</v>
      </c>
      <c r="Z40" s="1709" t="s">
        <v>841</v>
      </c>
      <c r="AA40" s="1709"/>
      <c r="AB40" s="1709"/>
      <c r="AC40" s="1709"/>
    </row>
    <row r="41" spans="2:29">
      <c r="N41" s="1386" t="s">
        <v>842</v>
      </c>
      <c r="O41" s="1706" t="s">
        <v>843</v>
      </c>
      <c r="P41" s="1706"/>
      <c r="Q41" s="1706"/>
      <c r="R41" s="1706"/>
      <c r="S41" s="1706"/>
      <c r="T41" s="1706"/>
      <c r="U41" s="1706"/>
      <c r="V41" s="1706"/>
      <c r="W41" s="1706"/>
      <c r="Y41" s="1386" t="s">
        <v>844</v>
      </c>
      <c r="Z41" s="1709" t="s">
        <v>845</v>
      </c>
      <c r="AA41" s="1709"/>
      <c r="AB41" s="1709"/>
      <c r="AC41" s="1709"/>
    </row>
    <row r="42" spans="2:29">
      <c r="N42" s="1386" t="s">
        <v>846</v>
      </c>
      <c r="O42" s="1706" t="s">
        <v>847</v>
      </c>
      <c r="P42" s="1706"/>
      <c r="Q42" s="1706"/>
      <c r="R42" s="1706"/>
      <c r="S42" s="1706"/>
      <c r="T42" s="1706"/>
      <c r="U42" s="1706"/>
      <c r="V42" s="1706"/>
      <c r="W42" s="1706"/>
      <c r="Y42" s="1386" t="s">
        <v>848</v>
      </c>
      <c r="Z42" s="1709" t="s">
        <v>849</v>
      </c>
      <c r="AA42" s="1709"/>
      <c r="AB42" s="1709"/>
      <c r="AC42" s="1709"/>
    </row>
    <row r="43" spans="2:29">
      <c r="N43" s="1386" t="s">
        <v>936</v>
      </c>
      <c r="O43" s="1706" t="s">
        <v>937</v>
      </c>
      <c r="P43" s="1706"/>
      <c r="Q43" s="1706"/>
      <c r="R43" s="1706"/>
      <c r="S43" s="1706"/>
      <c r="T43" s="1706"/>
      <c r="U43" s="1706"/>
      <c r="V43" s="1706"/>
      <c r="W43" s="1706"/>
      <c r="Y43" s="1386" t="s">
        <v>842</v>
      </c>
      <c r="Z43" s="1709" t="s">
        <v>843</v>
      </c>
      <c r="AA43" s="1709"/>
      <c r="AB43" s="1709"/>
      <c r="AC43" s="1709"/>
    </row>
    <row r="44" spans="2:29">
      <c r="N44" s="1386" t="s">
        <v>850</v>
      </c>
      <c r="O44" s="1706" t="s">
        <v>851</v>
      </c>
      <c r="P44" s="1706"/>
      <c r="Q44" s="1706"/>
      <c r="R44" s="1706"/>
      <c r="S44" s="1706"/>
      <c r="T44" s="1706"/>
      <c r="U44" s="1706"/>
      <c r="V44" s="1706"/>
      <c r="W44" s="1706"/>
      <c r="Y44" s="1386" t="s">
        <v>846</v>
      </c>
      <c r="Z44" s="1709" t="s">
        <v>847</v>
      </c>
      <c r="AA44" s="1709"/>
      <c r="AB44" s="1709"/>
      <c r="AC44" s="1709"/>
    </row>
    <row r="45" spans="2:29">
      <c r="N45" s="1386" t="s">
        <v>852</v>
      </c>
      <c r="O45" s="1706" t="s">
        <v>853</v>
      </c>
      <c r="P45" s="1706"/>
      <c r="Q45" s="1706"/>
      <c r="R45" s="1706"/>
      <c r="S45" s="1706"/>
      <c r="T45" s="1706"/>
      <c r="U45" s="1706"/>
      <c r="V45" s="1706"/>
      <c r="W45" s="1706"/>
      <c r="Y45" s="1386" t="s">
        <v>855</v>
      </c>
      <c r="Z45" s="1709" t="s">
        <v>856</v>
      </c>
      <c r="AA45" s="1709"/>
      <c r="AB45" s="1709"/>
      <c r="AC45" s="1709"/>
    </row>
    <row r="46" spans="2:29">
      <c r="N46" s="1386" t="s">
        <v>844</v>
      </c>
      <c r="O46" s="1706" t="s">
        <v>854</v>
      </c>
      <c r="P46" s="1706"/>
      <c r="Q46" s="1706"/>
      <c r="R46" s="1706"/>
      <c r="S46" s="1706"/>
      <c r="T46" s="1706"/>
      <c r="U46" s="1706"/>
      <c r="V46" s="1706"/>
      <c r="W46" s="1706"/>
      <c r="Y46" s="1386" t="s">
        <v>858</v>
      </c>
      <c r="Z46" s="1709" t="s">
        <v>859</v>
      </c>
      <c r="AA46" s="1709"/>
      <c r="AB46" s="1709"/>
      <c r="AC46" s="1709"/>
    </row>
    <row r="47" spans="2:29">
      <c r="N47" s="1386" t="s">
        <v>848</v>
      </c>
      <c r="O47" s="1706" t="s">
        <v>857</v>
      </c>
      <c r="P47" s="1706"/>
      <c r="Q47" s="1706"/>
      <c r="R47" s="1706"/>
      <c r="S47" s="1706"/>
      <c r="T47" s="1706"/>
      <c r="U47" s="1706"/>
      <c r="V47" s="1706"/>
      <c r="W47" s="1706"/>
      <c r="Y47" s="1387" t="s">
        <v>861</v>
      </c>
      <c r="Z47" s="1707" t="s">
        <v>862</v>
      </c>
      <c r="AA47" s="1707"/>
      <c r="AB47" s="1707"/>
      <c r="AC47" s="1707"/>
    </row>
    <row r="48" spans="2:29">
      <c r="N48" s="1386" t="s">
        <v>855</v>
      </c>
      <c r="O48" s="1706" t="s">
        <v>860</v>
      </c>
      <c r="P48" s="1706"/>
      <c r="Q48" s="1706"/>
      <c r="R48" s="1706"/>
      <c r="S48" s="1706"/>
      <c r="T48" s="1706"/>
      <c r="U48" s="1706"/>
      <c r="V48" s="1706"/>
      <c r="W48" s="1706"/>
      <c r="Y48" s="1386" t="s">
        <v>850</v>
      </c>
      <c r="Z48" s="1709" t="s">
        <v>851</v>
      </c>
      <c r="AA48" s="1709"/>
      <c r="AB48" s="1709"/>
      <c r="AC48" s="1709"/>
    </row>
    <row r="49" spans="14:29">
      <c r="N49" s="1386" t="s">
        <v>863</v>
      </c>
      <c r="O49" s="1706" t="s">
        <v>864</v>
      </c>
      <c r="P49" s="1706"/>
      <c r="Q49" s="1706"/>
      <c r="R49" s="1706"/>
      <c r="S49" s="1706"/>
      <c r="T49" s="1706"/>
      <c r="U49" s="1706"/>
      <c r="V49" s="1706"/>
      <c r="W49" s="1706"/>
      <c r="Y49" s="1388" t="s">
        <v>852</v>
      </c>
      <c r="Z49" s="1710" t="s">
        <v>853</v>
      </c>
      <c r="AA49" s="1710"/>
      <c r="AB49" s="1710"/>
      <c r="AC49" s="1710"/>
    </row>
    <row r="50" spans="14:29">
      <c r="N50" s="1386" t="s">
        <v>858</v>
      </c>
      <c r="O50" s="1706" t="s">
        <v>865</v>
      </c>
      <c r="P50" s="1706"/>
      <c r="Q50" s="1706"/>
      <c r="R50" s="1706"/>
      <c r="S50" s="1706"/>
      <c r="T50" s="1706"/>
      <c r="U50" s="1706"/>
      <c r="V50" s="1706"/>
      <c r="W50" s="1706"/>
    </row>
    <row r="51" spans="14:29">
      <c r="N51" s="1388" t="s">
        <v>861</v>
      </c>
      <c r="O51" s="1708" t="s">
        <v>866</v>
      </c>
      <c r="P51" s="1708"/>
      <c r="Q51" s="1708"/>
      <c r="R51" s="1708"/>
      <c r="S51" s="1708"/>
      <c r="T51" s="1708"/>
      <c r="U51" s="1708"/>
      <c r="V51" s="1708"/>
      <c r="W51" s="1708"/>
    </row>
  </sheetData>
  <sheetProtection algorithmName="SHA-512" hashValue="Iq6RmiQp5bq57bpgzZIUF+fzeWaGO6Evpoom5Ut5dvNWMafF5q8I9mVOtvpTBc+vPzMCFH5RiCDy3aZ6uZOHuQ==" saltValue="zdFNRWQSl3vYYP5sZQjZd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Di8fRRW36p3InEn4SxC72Dqygimn8mNc+fkBMCBJZSNHtAVSd0L/eOOJ7D+IY9+ef+Al6mJj+L4ZPfHm4iIhw==" saltValue="QWLc3Gt3IAZIUjFBUwNj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640</v>
      </c>
      <c r="DM5" s="1777" t="s">
        <v>706</v>
      </c>
      <c r="DN5" s="1777" t="s">
        <v>707</v>
      </c>
      <c r="DO5" s="1777" t="s">
        <v>708</v>
      </c>
      <c r="DP5" s="1777" t="s">
        <v>709</v>
      </c>
      <c r="DQ5" s="1777" t="s">
        <v>710</v>
      </c>
      <c r="DR5" s="1777" t="s">
        <v>711</v>
      </c>
      <c r="DS5" s="1777" t="s">
        <v>712</v>
      </c>
      <c r="DT5" s="1777" t="s">
        <v>713</v>
      </c>
      <c r="DU5" s="1778" t="s">
        <v>714</v>
      </c>
      <c r="DV5" s="1756" t="s">
        <v>715</v>
      </c>
      <c r="DW5" s="1753" t="s">
        <v>716</v>
      </c>
      <c r="DX5" s="1777" t="s">
        <v>717</v>
      </c>
      <c r="DY5" s="1750" t="s">
        <v>718</v>
      </c>
      <c r="DZ5" s="1753" t="s">
        <v>719</v>
      </c>
      <c r="EA5" s="1750" t="s">
        <v>720</v>
      </c>
      <c r="EB5" s="1784" t="s">
        <v>780</v>
      </c>
      <c r="EC5" s="1784" t="s">
        <v>781</v>
      </c>
      <c r="ED5" s="1784" t="s">
        <v>782</v>
      </c>
      <c r="EE5" s="1784" t="s">
        <v>822</v>
      </c>
      <c r="EF5" s="1784" t="s">
        <v>826</v>
      </c>
      <c r="EG5" s="1750" t="s">
        <v>824</v>
      </c>
      <c r="EH5" s="1750" t="s">
        <v>825</v>
      </c>
      <c r="EI5" s="1750" t="s">
        <v>784</v>
      </c>
      <c r="EJ5" s="1750" t="s">
        <v>785</v>
      </c>
      <c r="EK5" s="1765" t="s">
        <v>873</v>
      </c>
      <c r="EL5" s="1768" t="s">
        <v>891</v>
      </c>
      <c r="EM5" s="1769"/>
      <c r="EN5" s="1770"/>
      <c r="EO5" s="1762" t="s">
        <v>991</v>
      </c>
      <c r="EP5" s="1762" t="s">
        <v>993</v>
      </c>
      <c r="EQ5" s="1762" t="s">
        <v>994</v>
      </c>
      <c r="ER5" s="1762" t="s">
        <v>999</v>
      </c>
      <c r="ES5" s="1762" t="s">
        <v>1009</v>
      </c>
      <c r="ET5" s="1759" t="s">
        <v>1097</v>
      </c>
      <c r="EU5" s="1759" t="s">
        <v>1098</v>
      </c>
      <c r="EV5" s="1870" t="s">
        <v>1119</v>
      </c>
      <c r="EW5" s="1870" t="s">
        <v>1125</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990</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892</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1099</v>
      </c>
      <c r="EU8" s="1519" t="s">
        <v>1100</v>
      </c>
      <c r="EV8" s="165" t="s">
        <v>1108</v>
      </c>
      <c r="EW8" s="165">
        <v>153</v>
      </c>
      <c r="EX8" s="532" t="s">
        <v>1161</v>
      </c>
      <c r="EY8" s="532" t="s">
        <v>1175</v>
      </c>
    </row>
    <row r="9" spans="1:155" ht="14.25" customHeight="1">
      <c r="A9" s="20" t="s">
        <v>72</v>
      </c>
      <c r="B9" s="21" t="s">
        <v>519</v>
      </c>
      <c r="C9" s="22" t="s">
        <v>8</v>
      </c>
      <c r="D9" s="23" t="s">
        <v>25</v>
      </c>
      <c r="E9" s="21" t="s">
        <v>26</v>
      </c>
      <c r="F9" s="21">
        <v>32</v>
      </c>
      <c r="G9" s="6"/>
      <c r="H9" s="146" t="s">
        <v>320</v>
      </c>
      <c r="I9" s="193">
        <v>4191</v>
      </c>
      <c r="J9" s="194">
        <v>10315</v>
      </c>
      <c r="K9" s="194">
        <v>10093</v>
      </c>
      <c r="L9" s="194">
        <v>6329</v>
      </c>
      <c r="M9" s="194">
        <v>1826</v>
      </c>
      <c r="N9" s="194">
        <v>6167</v>
      </c>
      <c r="O9" s="194">
        <v>3605</v>
      </c>
      <c r="P9" s="194">
        <v>1814</v>
      </c>
      <c r="Q9" s="194">
        <v>1541</v>
      </c>
      <c r="R9" s="194">
        <v>6855</v>
      </c>
      <c r="S9" s="194">
        <v>4100</v>
      </c>
      <c r="T9" s="194">
        <v>8508</v>
      </c>
      <c r="U9" s="194">
        <v>8948</v>
      </c>
      <c r="V9" s="194">
        <v>4191</v>
      </c>
      <c r="W9" s="194">
        <v>1792</v>
      </c>
      <c r="X9" s="201">
        <v>5347</v>
      </c>
      <c r="Y9" s="204">
        <v>161</v>
      </c>
      <c r="Z9" s="194">
        <v>947</v>
      </c>
      <c r="AA9" s="194">
        <v>957</v>
      </c>
      <c r="AB9" s="194">
        <v>268</v>
      </c>
      <c r="AC9" s="194">
        <v>0</v>
      </c>
      <c r="AD9" s="194">
        <v>0</v>
      </c>
      <c r="AE9" s="194">
        <v>0</v>
      </c>
      <c r="AF9" s="201">
        <v>0</v>
      </c>
      <c r="AG9" s="204">
        <v>143</v>
      </c>
      <c r="AH9" s="194">
        <v>846</v>
      </c>
      <c r="AI9" s="194">
        <v>832</v>
      </c>
      <c r="AJ9" s="205">
        <v>161</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4243</v>
      </c>
      <c r="AZ9" s="133">
        <f>IF(ISNUMBER(IF(J_V="SI",T9,T9+AH9)),IF(J_V="SI",T9,T9+AH9)," - ")</f>
        <v>9354</v>
      </c>
      <c r="BA9" s="134">
        <f>IF(ISNUMBER(IF(J_V="SI",U9,U9+AI9)),IF(J_V="SI",U9,U9+AI9)," - ")</f>
        <v>9780</v>
      </c>
      <c r="BB9" s="134">
        <f>IF(ISNUMBER(IF(J_V="SI",V9,V9+AJ9)),IF(J_V="SI",V9,V9+AJ9)," - ")</f>
        <v>4352</v>
      </c>
      <c r="BC9" s="135">
        <f>IF(ISNUMBER(X9),X9," - ")</f>
        <v>5347</v>
      </c>
      <c r="BD9" s="136">
        <f>IF(ISNUMBER(BA9/AZ9),BA9/AZ9," - ")</f>
        <v>1.0455420141116101</v>
      </c>
      <c r="BE9" s="137">
        <f>IF(ISNUMBER(BB9/BA9),BB9/BA9, " - ")</f>
        <v>0.44498977505112475</v>
      </c>
      <c r="BF9" s="137">
        <f>IF(ISNUMBER(BC9/BA9),BC9/BA9, " - ")</f>
        <v>0.54672801635991819</v>
      </c>
      <c r="BG9" s="209">
        <f>IF(ISNUMBER((AY9+AZ9)/BA9),(AY9+AZ9)/BA9," - ")</f>
        <v>1.3902862985685072</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1134</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111</v>
      </c>
      <c r="J10" s="194">
        <v>178</v>
      </c>
      <c r="K10" s="194">
        <v>164</v>
      </c>
      <c r="L10" s="194">
        <v>125</v>
      </c>
      <c r="M10" s="194">
        <v>36</v>
      </c>
      <c r="N10" s="194">
        <v>84</v>
      </c>
      <c r="O10" s="194">
        <v>36</v>
      </c>
      <c r="P10" s="194">
        <v>24</v>
      </c>
      <c r="Q10" s="194">
        <v>35</v>
      </c>
      <c r="R10" s="194">
        <v>73</v>
      </c>
      <c r="S10" s="194">
        <v>103</v>
      </c>
      <c r="T10" s="194">
        <v>161</v>
      </c>
      <c r="U10" s="194">
        <v>153</v>
      </c>
      <c r="V10" s="194">
        <v>111</v>
      </c>
      <c r="W10" s="194">
        <v>48</v>
      </c>
      <c r="X10" s="201">
        <v>50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103</v>
      </c>
      <c r="AZ10" s="139">
        <f t="shared" si="0"/>
        <v>161</v>
      </c>
      <c r="BA10" s="139">
        <f t="shared" si="0"/>
        <v>153</v>
      </c>
      <c r="BB10" s="139">
        <f t="shared" si="0"/>
        <v>111</v>
      </c>
      <c r="BC10" s="135">
        <f t="shared" si="0"/>
        <v>48</v>
      </c>
      <c r="BD10" s="136">
        <f>IF(ISNUMBER(BA10/AZ10),BA10/AZ10," - ")</f>
        <v>0.9503105590062112</v>
      </c>
      <c r="BE10" s="137">
        <f>IF(ISNUMBER(BB10/BA10),BB10/BA10, " - ")</f>
        <v>0.72549019607843135</v>
      </c>
      <c r="BF10" s="137">
        <f>IF(ISNUMBER(BC10/BA10),BC10/BA10, " - ")</f>
        <v>0.31372549019607843</v>
      </c>
      <c r="BG10" s="209">
        <f>IF(ISNUMBER((AY10+AZ10)/BA10),(AY10+AZ10)/BA10," - ")</f>
        <v>1.7254901960784315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1078</v>
      </c>
      <c r="J11" s="196" t="s">
        <v>1065</v>
      </c>
      <c r="K11" s="196" t="s">
        <v>1141</v>
      </c>
      <c r="L11" s="196" t="s">
        <v>1083</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1137</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v>
      </c>
      <c r="J12" s="196">
        <v>3</v>
      </c>
      <c r="K12" s="196">
        <v>5</v>
      </c>
      <c r="L12" s="196">
        <v>0</v>
      </c>
      <c r="M12" s="196">
        <v>0</v>
      </c>
      <c r="N12" s="196">
        <v>8</v>
      </c>
      <c r="O12" s="194">
        <v>44</v>
      </c>
      <c r="P12" s="196">
        <v>20</v>
      </c>
      <c r="Q12" s="196">
        <v>103</v>
      </c>
      <c r="R12" s="196">
        <v>445</v>
      </c>
      <c r="S12" s="196">
        <v>1</v>
      </c>
      <c r="T12" s="196">
        <v>5</v>
      </c>
      <c r="U12" s="196">
        <v>4</v>
      </c>
      <c r="V12" s="196">
        <v>2</v>
      </c>
      <c r="W12" s="196">
        <v>0</v>
      </c>
      <c r="X12" s="202">
        <v>7</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1</v>
      </c>
      <c r="AZ12" s="137">
        <f t="shared" si="1"/>
        <v>5</v>
      </c>
      <c r="BA12" s="137">
        <f t="shared" si="1"/>
        <v>4</v>
      </c>
      <c r="BB12" s="137">
        <f t="shared" si="1"/>
        <v>2</v>
      </c>
      <c r="BC12" s="135">
        <f>IF(ISNUMBER(X12),X12," - ")</f>
        <v>7</v>
      </c>
      <c r="BD12" s="136">
        <f t="shared" si="2"/>
        <v>0.8</v>
      </c>
      <c r="BE12" s="137">
        <f t="shared" si="3"/>
        <v>0.5</v>
      </c>
      <c r="BF12" s="137">
        <f t="shared" si="4"/>
        <v>1.75</v>
      </c>
      <c r="BG12" s="209">
        <f t="shared" si="5"/>
        <v>1.5</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1135</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4304</v>
      </c>
      <c r="J14" s="197">
        <f t="shared" si="7"/>
        <v>10496</v>
      </c>
      <c r="K14" s="197">
        <f t="shared" si="7"/>
        <v>10262</v>
      </c>
      <c r="L14" s="197">
        <f t="shared" si="7"/>
        <v>6454</v>
      </c>
      <c r="M14" s="197">
        <f t="shared" si="7"/>
        <v>1862</v>
      </c>
      <c r="N14" s="197">
        <f t="shared" si="7"/>
        <v>6259</v>
      </c>
      <c r="O14" s="197">
        <f t="shared" si="7"/>
        <v>3685</v>
      </c>
      <c r="P14" s="197">
        <f t="shared" si="7"/>
        <v>1858</v>
      </c>
      <c r="Q14" s="197">
        <f t="shared" si="7"/>
        <v>1679</v>
      </c>
      <c r="R14" s="197">
        <f t="shared" si="7"/>
        <v>7373</v>
      </c>
      <c r="S14" s="197">
        <f t="shared" si="7"/>
        <v>4204</v>
      </c>
      <c r="T14" s="197">
        <f t="shared" si="7"/>
        <v>8674</v>
      </c>
      <c r="U14" s="197">
        <f t="shared" si="7"/>
        <v>9105</v>
      </c>
      <c r="V14" s="197">
        <f t="shared" si="7"/>
        <v>4304</v>
      </c>
      <c r="W14" s="197">
        <f t="shared" si="7"/>
        <v>1840</v>
      </c>
      <c r="X14" s="197">
        <f t="shared" si="7"/>
        <v>5404</v>
      </c>
      <c r="Y14" s="197">
        <f t="shared" si="7"/>
        <v>161</v>
      </c>
      <c r="Z14" s="197">
        <f t="shared" si="7"/>
        <v>947</v>
      </c>
      <c r="AA14" s="197">
        <f t="shared" si="7"/>
        <v>957</v>
      </c>
      <c r="AB14" s="197">
        <f t="shared" si="7"/>
        <v>268</v>
      </c>
      <c r="AC14" s="197">
        <f t="shared" si="7"/>
        <v>0</v>
      </c>
      <c r="AD14" s="197">
        <f t="shared" si="7"/>
        <v>0</v>
      </c>
      <c r="AE14" s="197">
        <f t="shared" si="7"/>
        <v>0</v>
      </c>
      <c r="AF14" s="197">
        <f>SUBTOTAL(9,AF9:AF13)</f>
        <v>0</v>
      </c>
      <c r="AG14" s="197">
        <f t="shared" ref="AG14:AT14" si="8">SUBTOTAL(9,AG8:AG13)</f>
        <v>143</v>
      </c>
      <c r="AH14" s="197">
        <f t="shared" si="8"/>
        <v>846</v>
      </c>
      <c r="AI14" s="197">
        <f t="shared" si="8"/>
        <v>832</v>
      </c>
      <c r="AJ14" s="197">
        <f t="shared" si="8"/>
        <v>161</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4347</v>
      </c>
      <c r="AZ14" s="197">
        <f>SUBTOTAL(9,AZ8:AZ13)</f>
        <v>9520</v>
      </c>
      <c r="BA14" s="197">
        <f>SUBTOTAL(9,BA8:BA13)</f>
        <v>9937</v>
      </c>
      <c r="BB14" s="197">
        <f>SUBTOTAL(9,BB8:BB13)</f>
        <v>4465</v>
      </c>
      <c r="BC14" s="197">
        <f>SUBTOTAL(9,BC8:BC13)</f>
        <v>5402</v>
      </c>
      <c r="BD14" s="219">
        <f>IF(ISNUMBER(BA14/AZ14),BA14/AZ14," - ")</f>
        <v>1.0438025210084034</v>
      </c>
      <c r="BE14" s="220">
        <f>IF(ISNUMBER(BB14/BA14),BB14/BA14, " - ")</f>
        <v>0.44933078393881454</v>
      </c>
      <c r="BF14" s="220">
        <f>IF(ISNUMBER(BC14/BA14),BC14/BA14, " - ")</f>
        <v>0.54362483646975945</v>
      </c>
      <c r="BG14" s="221">
        <f>IF(ISNUMBER((AY14+AZ14)/BA14),(AY14+AZ14)/BA14," - ")</f>
        <v>1.3954915970614874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1037</v>
      </c>
      <c r="J16" s="196">
        <v>8260</v>
      </c>
      <c r="K16" s="196">
        <v>8459</v>
      </c>
      <c r="L16" s="196">
        <v>1044</v>
      </c>
      <c r="M16" s="196">
        <v>984</v>
      </c>
      <c r="N16" s="196">
        <v>5014</v>
      </c>
      <c r="O16" s="194">
        <v>88</v>
      </c>
      <c r="P16" s="196">
        <v>338</v>
      </c>
      <c r="Q16" s="196">
        <v>235</v>
      </c>
      <c r="R16" s="196">
        <v>381</v>
      </c>
      <c r="S16" s="196">
        <v>1017</v>
      </c>
      <c r="T16" s="196">
        <v>7998</v>
      </c>
      <c r="U16" s="196">
        <v>8165</v>
      </c>
      <c r="V16" s="196">
        <v>1037</v>
      </c>
      <c r="W16" s="196">
        <v>964</v>
      </c>
      <c r="X16" s="202">
        <v>4769</v>
      </c>
      <c r="Y16" s="215">
        <v>0</v>
      </c>
      <c r="Z16" s="196">
        <v>0</v>
      </c>
      <c r="AA16" s="196">
        <v>0</v>
      </c>
      <c r="AB16" s="196">
        <v>0</v>
      </c>
      <c r="AC16" s="196">
        <v>0</v>
      </c>
      <c r="AD16" s="196">
        <v>103</v>
      </c>
      <c r="AE16" s="196">
        <v>103</v>
      </c>
      <c r="AF16" s="202">
        <v>0</v>
      </c>
      <c r="AG16" s="215">
        <v>0</v>
      </c>
      <c r="AH16" s="196">
        <v>0</v>
      </c>
      <c r="AI16" s="196">
        <v>0</v>
      </c>
      <c r="AJ16" s="216">
        <v>0</v>
      </c>
      <c r="AK16" s="195">
        <v>0</v>
      </c>
      <c r="AL16" s="196">
        <v>76</v>
      </c>
      <c r="AM16" s="196">
        <v>76</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1017</v>
      </c>
      <c r="AZ16" s="139">
        <f t="shared" si="10"/>
        <v>7998</v>
      </c>
      <c r="BA16" s="139">
        <f t="shared" si="10"/>
        <v>8165</v>
      </c>
      <c r="BB16" s="139">
        <f t="shared" si="10"/>
        <v>1037</v>
      </c>
      <c r="BC16" s="135">
        <f>IF(ISNUMBER(W16),W16," - ")</f>
        <v>964</v>
      </c>
      <c r="BD16" s="136">
        <f>IF(ISNUMBER(BA16/AZ16),BA16/AZ16," - ")</f>
        <v>1.0208802200550138</v>
      </c>
      <c r="BE16" s="137">
        <f>IF(ISNUMBER(BB16/BA16),BB16/BA16, " - ")</f>
        <v>0.12700551132884261</v>
      </c>
      <c r="BF16" s="137">
        <f>IF(ISNUMBER(BC16/BA16),BC16/BA16, " - ")</f>
        <v>0.11806491120636865</v>
      </c>
      <c r="BG16" s="209">
        <f t="shared" ref="BG16:BG22" si="11">IF(ISNUMBER((AY16+AZ16)/BA16),(AY16+AZ16)/BA16," - ")</f>
        <v>1.1041028781383957</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v>
      </c>
      <c r="J17" s="196">
        <v>0</v>
      </c>
      <c r="K17" s="196">
        <v>2</v>
      </c>
      <c r="L17" s="196">
        <v>8</v>
      </c>
      <c r="M17" s="196">
        <v>0</v>
      </c>
      <c r="N17" s="196">
        <v>1</v>
      </c>
      <c r="O17" s="194">
        <v>0</v>
      </c>
      <c r="P17" s="196">
        <v>0</v>
      </c>
      <c r="Q17" s="196">
        <v>0</v>
      </c>
      <c r="R17" s="196">
        <v>0</v>
      </c>
      <c r="S17" s="196">
        <v>12</v>
      </c>
      <c r="T17" s="196">
        <v>0</v>
      </c>
      <c r="U17" s="196">
        <v>2</v>
      </c>
      <c r="V17" s="196">
        <v>10</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12</v>
      </c>
      <c r="AZ17" s="137">
        <f t="shared" si="10"/>
        <v>0</v>
      </c>
      <c r="BA17" s="137">
        <f t="shared" si="10"/>
        <v>2</v>
      </c>
      <c r="BB17" s="137">
        <f t="shared" si="10"/>
        <v>10</v>
      </c>
      <c r="BC17" s="135">
        <f>IF(ISNUMBER(W17),W17," - ")</f>
        <v>0</v>
      </c>
      <c r="BD17" s="136" t="str">
        <f t="shared" ref="BD17:BD22" si="12">IF(ISNUMBER(BA17/AZ17),BA17/AZ17," - ")</f>
        <v xml:space="preserve"> - </v>
      </c>
      <c r="BE17" s="137">
        <f t="shared" ref="BE17:BE22" si="13">IF(ISNUMBER(BB17/BA17),BB17/BA17, " - ")</f>
        <v>5</v>
      </c>
      <c r="BF17" s="137">
        <f t="shared" ref="BF17:BF22" si="14">IF(ISNUMBER(BC17/BA17),BC17/BA17, " - ")</f>
        <v>0</v>
      </c>
      <c r="BG17" s="209">
        <f t="shared" si="11"/>
        <v>6</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259</v>
      </c>
      <c r="J18" s="196">
        <v>1582</v>
      </c>
      <c r="K18" s="196">
        <v>1612</v>
      </c>
      <c r="L18" s="196">
        <v>247</v>
      </c>
      <c r="M18" s="196">
        <v>49</v>
      </c>
      <c r="N18" s="196">
        <v>935</v>
      </c>
      <c r="O18" s="196">
        <v>2</v>
      </c>
      <c r="P18" s="196">
        <v>7</v>
      </c>
      <c r="Q18" s="196">
        <v>10</v>
      </c>
      <c r="R18" s="196">
        <v>6</v>
      </c>
      <c r="S18" s="196">
        <v>214</v>
      </c>
      <c r="T18" s="196">
        <v>1792</v>
      </c>
      <c r="U18" s="196">
        <v>1610</v>
      </c>
      <c r="V18" s="196">
        <v>259</v>
      </c>
      <c r="W18" s="196">
        <v>40</v>
      </c>
      <c r="X18" s="202">
        <v>971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214</v>
      </c>
      <c r="AZ18" s="139">
        <f t="shared" si="15"/>
        <v>1792</v>
      </c>
      <c r="BA18" s="139">
        <f t="shared" si="15"/>
        <v>1610</v>
      </c>
      <c r="BB18" s="139">
        <f t="shared" si="15"/>
        <v>259</v>
      </c>
      <c r="BC18" s="135">
        <f>IF(ISNUMBER(W18),W18," - ")</f>
        <v>40</v>
      </c>
      <c r="BD18" s="136">
        <f>IF(ISNUMBER(BA18/AZ18),BA18/AZ18," - ")</f>
        <v>0.8984375</v>
      </c>
      <c r="BE18" s="137">
        <f>IF(ISNUMBER(BB18/BA18),BB18/BA18, " - ")</f>
        <v>0.16086956521739129</v>
      </c>
      <c r="BF18" s="137">
        <f>IF(ISNUMBER(BC18/BA18),BC18/BA18, " - ")</f>
        <v>2.4844720496894408E-2</v>
      </c>
      <c r="BG18" s="209">
        <f>IF(ISNUMBER((AY18+AZ18)/BA18),(AY18+AZ18)/BA18," - ")</f>
        <v>1.2459627329192546</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1306</v>
      </c>
      <c r="J23" s="197">
        <f t="shared" si="21"/>
        <v>9842</v>
      </c>
      <c r="K23" s="197">
        <f t="shared" si="21"/>
        <v>10073</v>
      </c>
      <c r="L23" s="197">
        <f t="shared" si="21"/>
        <v>1299</v>
      </c>
      <c r="M23" s="197">
        <f t="shared" si="21"/>
        <v>1033</v>
      </c>
      <c r="N23" s="197">
        <f t="shared" si="21"/>
        <v>5950</v>
      </c>
      <c r="O23" s="197">
        <f t="shared" si="21"/>
        <v>90</v>
      </c>
      <c r="P23" s="197">
        <f t="shared" si="21"/>
        <v>345</v>
      </c>
      <c r="Q23" s="197">
        <f t="shared" si="21"/>
        <v>245</v>
      </c>
      <c r="R23" s="197">
        <f t="shared" si="21"/>
        <v>387</v>
      </c>
      <c r="S23" s="197">
        <f t="shared" si="21"/>
        <v>1243</v>
      </c>
      <c r="T23" s="197">
        <f t="shared" si="21"/>
        <v>9790</v>
      </c>
      <c r="U23" s="197">
        <f t="shared" si="21"/>
        <v>9777</v>
      </c>
      <c r="V23" s="197">
        <f t="shared" si="21"/>
        <v>1306</v>
      </c>
      <c r="W23" s="197">
        <f t="shared" si="21"/>
        <v>1004</v>
      </c>
      <c r="X23" s="197">
        <f t="shared" si="21"/>
        <v>5740</v>
      </c>
      <c r="Y23" s="197">
        <f t="shared" si="21"/>
        <v>0</v>
      </c>
      <c r="Z23" s="197">
        <f t="shared" si="21"/>
        <v>0</v>
      </c>
      <c r="AA23" s="197">
        <f t="shared" si="21"/>
        <v>0</v>
      </c>
      <c r="AB23" s="197">
        <f t="shared" si="21"/>
        <v>0</v>
      </c>
      <c r="AC23" s="197">
        <f t="shared" si="21"/>
        <v>0</v>
      </c>
      <c r="AD23" s="197">
        <f t="shared" si="21"/>
        <v>103</v>
      </c>
      <c r="AE23" s="197">
        <f t="shared" si="21"/>
        <v>103</v>
      </c>
      <c r="AF23" s="197">
        <f t="shared" si="21"/>
        <v>0</v>
      </c>
      <c r="AG23" s="197">
        <f t="shared" si="21"/>
        <v>0</v>
      </c>
      <c r="AH23" s="197">
        <f t="shared" si="21"/>
        <v>0</v>
      </c>
      <c r="AI23" s="197">
        <f t="shared" si="21"/>
        <v>0</v>
      </c>
      <c r="AJ23" s="197">
        <f t="shared" si="21"/>
        <v>0</v>
      </c>
      <c r="AK23" s="197">
        <f t="shared" si="21"/>
        <v>0</v>
      </c>
      <c r="AL23" s="197">
        <f t="shared" si="21"/>
        <v>76</v>
      </c>
      <c r="AM23" s="197">
        <f t="shared" si="21"/>
        <v>76</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1243</v>
      </c>
      <c r="AZ23" s="197">
        <f>SUBTOTAL(9,AZ15:AZ22)</f>
        <v>9790</v>
      </c>
      <c r="BA23" s="197">
        <f>SUBTOTAL(9,BA15:BA22)</f>
        <v>9777</v>
      </c>
      <c r="BB23" s="197">
        <f>SUBTOTAL(9,BB15:BB22)</f>
        <v>1306</v>
      </c>
      <c r="BC23" s="197">
        <f>SUBTOTAL(9,BC15:BC22)</f>
        <v>1004</v>
      </c>
      <c r="BD23" s="219">
        <f>IF(ISNUMBER(BA23/AZ23),BA23/AZ23," - ")</f>
        <v>0.99867211440245152</v>
      </c>
      <c r="BE23" s="220">
        <f>IF(ISNUMBER(BB23/BA23),BB23/BA23, " - ")</f>
        <v>0.1335788074051345</v>
      </c>
      <c r="BF23" s="220">
        <f>IF(ISNUMBER(BC23/BA23),BC23/BA23, " - ")</f>
        <v>0.10268998670348778</v>
      </c>
      <c r="BG23" s="221">
        <f>IF(ISNUMBER((AY23+AZ23)/BA23),(AY23+AZ23)/BA23," - ")</f>
        <v>1.1284647642426102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1143</v>
      </c>
      <c r="Q28" s="196" t="s">
        <v>1144</v>
      </c>
      <c r="R28" s="196" t="s">
        <v>1145</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5610</v>
      </c>
      <c r="J31" s="144">
        <f t="shared" si="36"/>
        <v>20338</v>
      </c>
      <c r="K31" s="144">
        <f t="shared" si="36"/>
        <v>20335</v>
      </c>
      <c r="L31" s="144">
        <f t="shared" si="36"/>
        <v>7753</v>
      </c>
      <c r="M31" s="144">
        <f t="shared" si="36"/>
        <v>2895</v>
      </c>
      <c r="N31" s="144">
        <f t="shared" si="36"/>
        <v>12209</v>
      </c>
      <c r="O31" s="144">
        <f t="shared" si="36"/>
        <v>3775</v>
      </c>
      <c r="P31" s="144">
        <f t="shared" si="36"/>
        <v>2203</v>
      </c>
      <c r="Q31" s="144">
        <f t="shared" si="36"/>
        <v>1924</v>
      </c>
      <c r="R31" s="144">
        <f t="shared" si="36"/>
        <v>7760</v>
      </c>
      <c r="S31" s="144">
        <f t="shared" si="36"/>
        <v>5447</v>
      </c>
      <c r="T31" s="144">
        <f t="shared" si="36"/>
        <v>18464</v>
      </c>
      <c r="U31" s="144">
        <f t="shared" si="36"/>
        <v>18882</v>
      </c>
      <c r="V31" s="144">
        <f t="shared" si="36"/>
        <v>5610</v>
      </c>
      <c r="W31" s="144">
        <f t="shared" si="36"/>
        <v>2844</v>
      </c>
      <c r="X31" s="144">
        <f t="shared" si="36"/>
        <v>11144</v>
      </c>
      <c r="Y31" s="144">
        <f t="shared" si="36"/>
        <v>161</v>
      </c>
      <c r="Z31" s="144">
        <f t="shared" si="36"/>
        <v>947</v>
      </c>
      <c r="AA31" s="144">
        <f t="shared" si="36"/>
        <v>957</v>
      </c>
      <c r="AB31" s="144">
        <f t="shared" si="36"/>
        <v>268</v>
      </c>
      <c r="AC31" s="144">
        <f t="shared" si="36"/>
        <v>0</v>
      </c>
      <c r="AD31" s="144">
        <f t="shared" si="36"/>
        <v>103</v>
      </c>
      <c r="AE31" s="144">
        <f t="shared" si="36"/>
        <v>103</v>
      </c>
      <c r="AF31" s="144">
        <f t="shared" si="36"/>
        <v>0</v>
      </c>
      <c r="AG31" s="144">
        <f t="shared" si="36"/>
        <v>143</v>
      </c>
      <c r="AH31" s="144">
        <f t="shared" si="36"/>
        <v>846</v>
      </c>
      <c r="AI31" s="144">
        <f t="shared" si="36"/>
        <v>832</v>
      </c>
      <c r="AJ31" s="144">
        <f t="shared" si="36"/>
        <v>161</v>
      </c>
      <c r="AK31" s="144">
        <f t="shared" si="36"/>
        <v>0</v>
      </c>
      <c r="AL31" s="144">
        <f t="shared" si="36"/>
        <v>76</v>
      </c>
      <c r="AM31" s="144">
        <f t="shared" si="36"/>
        <v>76</v>
      </c>
      <c r="AN31" s="224">
        <f t="shared" si="36"/>
        <v>0</v>
      </c>
      <c r="AO31" s="225">
        <v>11</v>
      </c>
      <c r="AP31" s="225">
        <v>11</v>
      </c>
      <c r="AQ31" s="225">
        <v>11</v>
      </c>
      <c r="AR31" s="225">
        <v>11</v>
      </c>
      <c r="AS31" s="166">
        <f t="shared" si="36"/>
        <v>0</v>
      </c>
      <c r="AT31" s="166">
        <f t="shared" si="36"/>
        <v>0</v>
      </c>
      <c r="AU31" s="225"/>
      <c r="AV31" s="226"/>
      <c r="AW31" s="225"/>
      <c r="AX31" s="226"/>
      <c r="AY31" s="143">
        <f>SUBTOTAL(9,AY9:AY30)</f>
        <v>5590</v>
      </c>
      <c r="AZ31" s="144">
        <f>SUBTOTAL(9,AZ9:AZ30)</f>
        <v>19310</v>
      </c>
      <c r="BA31" s="144">
        <f>SUBTOTAL(9,BA9:BA30)</f>
        <v>19714</v>
      </c>
      <c r="BB31" s="144">
        <f>SUBTOTAL(9,BB9:BB30)</f>
        <v>5771</v>
      </c>
      <c r="BC31" s="145">
        <f>SUBTOTAL(9,BC9:BC30)</f>
        <v>6406</v>
      </c>
      <c r="BD31" s="227">
        <f>IF(ISNUMBER(BA31/AZ31),BA31/AZ31," - ")</f>
        <v>1.0209218021750388</v>
      </c>
      <c r="BE31" s="224">
        <f>IF(ISNUMBER(BB31/BA31),BB31/BA31, " - ")</f>
        <v>0.29273612661053061</v>
      </c>
      <c r="BF31" s="224">
        <f>IF(ISNUMBER(BC31/BA31),BC31/BA31, " - ")</f>
        <v>0.32494673835852694</v>
      </c>
      <c r="BG31" s="145">
        <f>IF(ISNUMBER((AY31+AZ31)/BA31),(AY31+AZ31)/BA31," - ")</f>
        <v>1.2630617835041087</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8mRLVP2xc7Bk8+Qal4sH6c2xDKqY0GTdc15+besj/ztbhxt4t4QfoUZDQ9zTPSZALezzMIWHtYzncUCHJEvsw==" saltValue="4lDonUeT5hfGxwfKAqQ5u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639</v>
      </c>
      <c r="DM5" s="1777" t="s">
        <v>706</v>
      </c>
      <c r="DN5" s="1777" t="s">
        <v>707</v>
      </c>
      <c r="DO5" s="1777" t="s">
        <v>708</v>
      </c>
      <c r="DP5" s="1777" t="s">
        <v>709</v>
      </c>
      <c r="DQ5" s="1777" t="s">
        <v>710</v>
      </c>
      <c r="DR5" s="1777" t="s">
        <v>711</v>
      </c>
      <c r="DS5" s="1777" t="s">
        <v>712</v>
      </c>
      <c r="DT5" s="1777" t="s">
        <v>713</v>
      </c>
      <c r="DU5" s="1756" t="s">
        <v>714</v>
      </c>
      <c r="DV5" s="1756" t="s">
        <v>715</v>
      </c>
      <c r="DW5" s="1753" t="s">
        <v>716</v>
      </c>
      <c r="DX5" s="1777" t="s">
        <v>717</v>
      </c>
      <c r="DY5" s="1750" t="s">
        <v>718</v>
      </c>
      <c r="DZ5" s="1753" t="s">
        <v>719</v>
      </c>
      <c r="EA5" s="1750" t="s">
        <v>720</v>
      </c>
      <c r="EB5" s="1784" t="s">
        <v>780</v>
      </c>
      <c r="EC5" s="1784" t="s">
        <v>817</v>
      </c>
      <c r="ED5" s="1784" t="s">
        <v>782</v>
      </c>
      <c r="EE5" s="1784" t="s">
        <v>822</v>
      </c>
      <c r="EF5" s="1784" t="s">
        <v>823</v>
      </c>
      <c r="EG5" s="1750" t="s">
        <v>824</v>
      </c>
      <c r="EH5" s="1750" t="s">
        <v>825</v>
      </c>
      <c r="EI5" s="1750" t="s">
        <v>784</v>
      </c>
      <c r="EJ5" s="1750" t="s">
        <v>785</v>
      </c>
      <c r="EK5" s="1879" t="s">
        <v>873</v>
      </c>
      <c r="EL5" s="1768" t="s">
        <v>891</v>
      </c>
      <c r="EM5" s="1769"/>
      <c r="EN5" s="1770"/>
      <c r="EO5" s="1762" t="s">
        <v>991</v>
      </c>
      <c r="EP5" s="1762" t="s">
        <v>993</v>
      </c>
      <c r="EQ5" s="1762" t="s">
        <v>994</v>
      </c>
      <c r="ER5" s="1762" t="s">
        <v>999</v>
      </c>
      <c r="ES5" s="1762" t="s">
        <v>1009</v>
      </c>
      <c r="ET5" s="1759" t="s">
        <v>1097</v>
      </c>
      <c r="EU5" s="1759" t="s">
        <v>1098</v>
      </c>
      <c r="EV5" s="1790" t="s">
        <v>1119</v>
      </c>
      <c r="EW5" s="1750" t="s">
        <v>1122</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990</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892</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1099</v>
      </c>
      <c r="EU8" s="1519" t="s">
        <v>1100</v>
      </c>
      <c r="EV8" s="1519" t="s">
        <v>1108</v>
      </c>
      <c r="EW8" s="532" t="s">
        <v>1121</v>
      </c>
      <c r="EX8" s="532" t="s">
        <v>1161</v>
      </c>
      <c r="EY8" s="532" t="s">
        <v>1175</v>
      </c>
    </row>
    <row r="9" spans="1:155" s="788" customFormat="1" ht="14.25" customHeight="1">
      <c r="A9" s="823" t="s">
        <v>72</v>
      </c>
      <c r="B9" s="770" t="s">
        <v>519</v>
      </c>
      <c r="C9" s="771" t="s">
        <v>8</v>
      </c>
      <c r="D9" s="772" t="s">
        <v>25</v>
      </c>
      <c r="E9" s="770" t="s">
        <v>26</v>
      </c>
      <c r="F9" s="770">
        <v>32</v>
      </c>
      <c r="G9" s="773"/>
      <c r="H9" s="824" t="s">
        <v>320</v>
      </c>
      <c r="I9" s="825" t="s">
        <v>1165</v>
      </c>
      <c r="J9" s="775" t="s">
        <v>1167</v>
      </c>
      <c r="K9" s="775" t="s">
        <v>1169</v>
      </c>
      <c r="L9" s="775" t="s">
        <v>1171</v>
      </c>
      <c r="M9" s="775" t="s">
        <v>1173</v>
      </c>
      <c r="N9" s="775" t="s">
        <v>1174</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1069</v>
      </c>
      <c r="AT9" s="832"/>
      <c r="AU9" s="831" t="s">
        <v>1081</v>
      </c>
      <c r="AV9" s="832"/>
      <c r="AW9" s="831" t="s">
        <v>1084</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1139</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1149</v>
      </c>
      <c r="CR9" s="836" t="s">
        <v>642</v>
      </c>
      <c r="CS9" s="530"/>
      <c r="CT9" s="530"/>
      <c r="CU9" s="530"/>
      <c r="CV9" s="530" t="s">
        <v>659</v>
      </c>
      <c r="CW9" s="530" t="s">
        <v>532</v>
      </c>
      <c r="CX9" s="530" t="s">
        <v>454</v>
      </c>
      <c r="CY9" s="530" t="s">
        <v>576</v>
      </c>
      <c r="CZ9" s="530" t="s">
        <v>577</v>
      </c>
      <c r="DA9" s="530" t="s">
        <v>578</v>
      </c>
      <c r="DB9" s="831" t="s">
        <v>1070</v>
      </c>
      <c r="DC9" s="831" t="s">
        <v>1071</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1134</v>
      </c>
      <c r="EP9" s="1318" t="s">
        <v>1156</v>
      </c>
      <c r="EQ9" s="1318" t="s">
        <v>1157</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1077</v>
      </c>
      <c r="J11" s="350" t="s">
        <v>1072</v>
      </c>
      <c r="K11" s="350" t="s">
        <v>1142</v>
      </c>
      <c r="L11" s="350" t="s">
        <v>1085</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1073</v>
      </c>
      <c r="AT11" s="778"/>
      <c r="AU11" s="777" t="s">
        <v>1082</v>
      </c>
      <c r="AV11" s="778"/>
      <c r="AW11" s="777" t="s">
        <v>1086</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1151</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1153</v>
      </c>
      <c r="CR11" s="530" t="s">
        <v>1152</v>
      </c>
      <c r="CS11" s="790"/>
      <c r="CT11" s="530"/>
      <c r="CU11" s="530"/>
      <c r="CV11" s="530" t="s">
        <v>659</v>
      </c>
      <c r="CW11" s="530" t="s">
        <v>439</v>
      </c>
      <c r="CX11" s="530" t="s">
        <v>454</v>
      </c>
      <c r="CY11" s="530" t="s">
        <v>576</v>
      </c>
      <c r="CZ11" s="530" t="s">
        <v>577</v>
      </c>
      <c r="DA11" s="530" t="s">
        <v>578</v>
      </c>
      <c r="DB11" s="363" t="s">
        <v>1074</v>
      </c>
      <c r="DC11" s="363" t="s">
        <v>1075</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1137</v>
      </c>
      <c r="EP11" s="1364" t="s">
        <v>1154</v>
      </c>
      <c r="EQ11" s="1364" t="s">
        <v>1155</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1166</v>
      </c>
      <c r="J12" s="350" t="s">
        <v>1168</v>
      </c>
      <c r="K12" s="350" t="s">
        <v>1170</v>
      </c>
      <c r="L12" s="350" t="s">
        <v>1172</v>
      </c>
      <c r="M12" s="350" t="s">
        <v>1164</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1089</v>
      </c>
      <c r="AT12" s="778"/>
      <c r="AU12" s="777" t="s">
        <v>1079</v>
      </c>
      <c r="AV12" s="778"/>
      <c r="AW12" s="777" t="s">
        <v>1087</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1138</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1150</v>
      </c>
      <c r="CR12" s="836"/>
      <c r="CS12" s="790"/>
      <c r="CT12" s="530"/>
      <c r="CU12" s="530"/>
      <c r="CV12" s="530" t="s">
        <v>659</v>
      </c>
      <c r="CW12" s="530" t="s">
        <v>439</v>
      </c>
      <c r="CX12" s="530" t="s">
        <v>454</v>
      </c>
      <c r="CY12" s="530" t="s">
        <v>576</v>
      </c>
      <c r="CZ12" s="530" t="s">
        <v>577</v>
      </c>
      <c r="DA12" s="530" t="s">
        <v>578</v>
      </c>
      <c r="DB12" s="831" t="s">
        <v>1090</v>
      </c>
      <c r="DC12" s="831" t="s">
        <v>1091</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1136</v>
      </c>
      <c r="EP12" s="1318" t="s">
        <v>1158</v>
      </c>
      <c r="EQ12" s="1318" t="s">
        <v>1159</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1127</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1128</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1076</v>
      </c>
      <c r="EP16" s="1317" t="s">
        <v>1080</v>
      </c>
      <c r="EQ16" s="1317" t="s">
        <v>1088</v>
      </c>
      <c r="ER16" s="1341" t="s">
        <v>1031</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1114</v>
      </c>
      <c r="EW19" s="168"/>
      <c r="EX19" s="168"/>
      <c r="EY19" s="168" t="s">
        <v>1177</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1160</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1146</v>
      </c>
      <c r="Q28" s="26" t="s">
        <v>1147</v>
      </c>
      <c r="R28" s="26" t="s">
        <v>1148</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1140</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MUfMOqVM4lfmt5TFT3uOeledU0NPFnkM8tA7O8kEd/kBtsYSPnj9AuQLY7xVvOUfP1pXpQcn85VWtPKD/hNHA==" saltValue="FP+tCwYVccyaaB2Yi+/LY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TORREJON DE ARDOZ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749</v>
      </c>
      <c r="F5" s="1914" t="s">
        <v>527</v>
      </c>
      <c r="G5" s="1885" t="s">
        <v>173</v>
      </c>
      <c r="H5" s="1885" t="s">
        <v>782</v>
      </c>
      <c r="I5" s="1885" t="s">
        <v>750</v>
      </c>
      <c r="J5" s="1885" t="s">
        <v>867</v>
      </c>
      <c r="K5" s="1885" t="s">
        <v>868</v>
      </c>
      <c r="L5" s="1885" t="s">
        <v>751</v>
      </c>
      <c r="M5" s="1885" t="s">
        <v>706</v>
      </c>
      <c r="N5" s="1885" t="s">
        <v>869</v>
      </c>
      <c r="O5" s="1917" t="s">
        <v>780</v>
      </c>
      <c r="P5" s="1885" t="s">
        <v>889</v>
      </c>
      <c r="Q5" s="1885" t="s">
        <v>883</v>
      </c>
      <c r="R5" s="1885" t="s">
        <v>229</v>
      </c>
      <c r="S5" s="1920" t="s">
        <v>879</v>
      </c>
      <c r="T5" s="1920" t="s">
        <v>882</v>
      </c>
      <c r="U5" s="1885" t="s">
        <v>783</v>
      </c>
      <c r="V5" s="1920" t="s">
        <v>752</v>
      </c>
      <c r="W5" s="1885" t="s">
        <v>1035</v>
      </c>
      <c r="X5" s="1885" t="s">
        <v>1036</v>
      </c>
      <c r="Y5" s="1888" t="s">
        <v>870</v>
      </c>
      <c r="Z5" s="1903" t="s">
        <v>808</v>
      </c>
      <c r="AA5" s="1906" t="s">
        <v>753</v>
      </c>
      <c r="AB5" s="1903" t="s">
        <v>754</v>
      </c>
      <c r="AC5" s="1903" t="s">
        <v>755</v>
      </c>
      <c r="AD5" s="1882" t="s">
        <v>871</v>
      </c>
      <c r="AE5" s="1882" t="s">
        <v>1063</v>
      </c>
      <c r="AF5" s="1885" t="s">
        <v>884</v>
      </c>
      <c r="AG5" s="1885" t="s">
        <v>707</v>
      </c>
      <c r="AH5" s="1885" t="s">
        <v>872</v>
      </c>
      <c r="AI5" s="1885" t="s">
        <v>240</v>
      </c>
      <c r="AJ5" s="1885" t="s">
        <v>939</v>
      </c>
      <c r="AK5" s="1885" t="s">
        <v>708</v>
      </c>
      <c r="AL5" s="1885" t="s">
        <v>709</v>
      </c>
      <c r="AM5" s="1885" t="s">
        <v>890</v>
      </c>
      <c r="AN5" s="1885" t="s">
        <v>710</v>
      </c>
      <c r="AO5" s="1885" t="s">
        <v>711</v>
      </c>
      <c r="AP5" s="1885" t="s">
        <v>712</v>
      </c>
      <c r="AQ5" s="1885" t="s">
        <v>713</v>
      </c>
      <c r="AR5" s="1885" t="s">
        <v>873</v>
      </c>
      <c r="AS5" s="1885" t="s">
        <v>243</v>
      </c>
      <c r="AT5" s="1891" t="s">
        <v>241</v>
      </c>
      <c r="AU5" s="1885" t="s">
        <v>885</v>
      </c>
      <c r="AV5" s="1894" t="s">
        <v>886</v>
      </c>
      <c r="AW5" s="1897" t="s">
        <v>715</v>
      </c>
      <c r="AX5" s="1885" t="s">
        <v>716</v>
      </c>
      <c r="AY5" s="1885" t="s">
        <v>806</v>
      </c>
      <c r="AZ5" s="1900" t="s">
        <v>807</v>
      </c>
      <c r="BA5" s="1885" t="s">
        <v>757</v>
      </c>
      <c r="BB5" s="1894" t="s">
        <v>758</v>
      </c>
      <c r="BC5" s="1897" t="s">
        <v>244</v>
      </c>
      <c r="BD5" s="1885" t="s">
        <v>759</v>
      </c>
      <c r="BE5" s="1885" t="s">
        <v>322</v>
      </c>
      <c r="BF5" s="1885" t="s">
        <v>323</v>
      </c>
      <c r="BG5" s="1885" t="s">
        <v>324</v>
      </c>
      <c r="BH5" s="1885" t="s">
        <v>760</v>
      </c>
      <c r="BI5" s="1885" t="s">
        <v>325</v>
      </c>
      <c r="BJ5" s="1885" t="s">
        <v>761</v>
      </c>
      <c r="BK5" s="1885" t="s">
        <v>776</v>
      </c>
      <c r="BL5" s="1885" t="s">
        <v>762</v>
      </c>
      <c r="BM5" s="1885" t="s">
        <v>763</v>
      </c>
      <c r="BN5" s="1885" t="s">
        <v>791</v>
      </c>
      <c r="BO5" s="1885" t="s">
        <v>784</v>
      </c>
      <c r="BP5" s="1885" t="s">
        <v>1120</v>
      </c>
      <c r="BQ5" s="1885" t="s">
        <v>1124</v>
      </c>
      <c r="BR5" s="1885" t="s">
        <v>1126</v>
      </c>
      <c r="BS5" s="1885" t="s">
        <v>785</v>
      </c>
      <c r="BT5" s="1885" t="s">
        <v>764</v>
      </c>
      <c r="BU5" s="1885" t="s">
        <v>714</v>
      </c>
      <c r="BV5" s="1909" t="s">
        <v>1037</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947</v>
      </c>
      <c r="O9" s="549"/>
      <c r="P9" s="549"/>
      <c r="Q9" s="547">
        <f>IF(ISNUMBER(Datos!P9),Datos!P9,0)</f>
        <v>1814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1541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268</v>
      </c>
      <c r="AI9" s="549" t="str">
        <f>IF(ISNUMBER(Datos!CD9),Datos!CD9,"-")</f>
        <v>-</v>
      </c>
      <c r="AJ9" s="549" t="str">
        <f>IF(ISNUMBER(Datos!EN9),Datos!EN9," - ")</f>
        <v xml:space="preserve"> - </v>
      </c>
      <c r="AK9" s="549"/>
      <c r="AL9" s="550"/>
      <c r="AM9" s="766">
        <f>IF(ISNUMBER(Datos!R9),Datos!R9," - ")</f>
        <v>6855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1826</v>
      </c>
      <c r="BD9" s="693">
        <f>IF(ISNUMBER(Datos!N9),Datos!N9," - ")</f>
        <v>6167</v>
      </c>
      <c r="BE9" s="693" t="str">
        <f>IF(ISNUMBER(Datos!BW9),Datos!BW9," - ")</f>
        <v xml:space="preserve"> - </v>
      </c>
      <c r="BF9" s="762" t="str">
        <f>IF(ISNUMBER(Datos!BX9),Datos!BX9," - ")</f>
        <v xml:space="preserve"> - </v>
      </c>
      <c r="BG9" s="763">
        <f>IF(ISNUMBER(IF(J_V="SI",Datos!K9/Datos!J9,(Datos!K9+Datos!AA9)/(Datos!J9+Datos!Z9))),IF(J_V="SI",Datos!K9/Datos!J9,(Datos!K9+Datos!AA9)/(Datos!J9+Datos!Z9))," - ")</f>
        <v>0.98117563487835202</v>
      </c>
      <c r="BH9" s="764">
        <f>IF(ISNUMBER(((IF(J_V="SI",Datos!L9/Datos!K9,(Datos!L9+Datos!AB9)/(Datos!K9+Datos!AA9)))*11)/factor_trimestre),((IF(J_V="SI",Datos!L9/Datos!K9,(Datos!L9+Datos!AB9)/(Datos!K9+Datos!AA9)))*11)/factor_trimestre," - ")</f>
        <v>6.5671493212669692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4.1476754785779398E-2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111</v>
      </c>
      <c r="G10" s="543">
        <f>IF(ISNUMBER(Datos!I10),Datos!I10," - ")</f>
        <v>111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164</v>
      </c>
      <c r="AC10" s="547">
        <f>IF(ISNUMBER(Datos!Q10),Datos!Q10," - ")</f>
        <v>35</v>
      </c>
      <c r="AD10" s="549"/>
      <c r="AE10" s="563"/>
      <c r="AF10" s="551">
        <f>IF(ISNUMBER(Datos!L10),Datos!L10,"-")</f>
        <v>125</v>
      </c>
      <c r="AG10" s="549"/>
      <c r="AH10" s="549"/>
      <c r="AI10" s="549"/>
      <c r="AJ10" s="549"/>
      <c r="AK10" s="549"/>
      <c r="AL10" s="550"/>
      <c r="AM10" s="766">
        <f>IF(ISNUMBER(Datos!R10),Datos!R10," - ")</f>
        <v>73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36</v>
      </c>
      <c r="BD10" s="693">
        <f>IF(ISNUMBER(Datos!N10),Datos!N10," - ")</f>
        <v>84</v>
      </c>
      <c r="BE10" s="693" t="str">
        <f>IF(ISNUMBER(Datos!BW10),Datos!BW10," - ")</f>
        <v xml:space="preserve"> - </v>
      </c>
      <c r="BF10" s="762" t="str">
        <f>IF(ISNUMBER(Datos!BX10),Datos!BX10," - ")</f>
        <v xml:space="preserve"> - </v>
      </c>
      <c r="BG10" s="763">
        <f>IF(ISNUMBER(Datos!K10/Datos!J10),Datos!K10/Datos!J10," - ")</f>
        <v>0.9213483146067416</v>
      </c>
      <c r="BH10" s="764">
        <f>IF(ISNUMBER(((Datos!L10/Datos!K10)*11)/factor_trimestre),((Datos!L10/Datos!K10)*11)/factor_trimestre," - ")</f>
        <v>8.3841463414634152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-0.13095238095238096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20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445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1.6666666666666667</v>
      </c>
      <c r="BH12" s="764">
        <f>IF(ISNUMBER(((IF(J_V="SI",Datos!L12/Datos!K12,(Datos!L12+Datos!AB12)/(Datos!K12+Datos!AA12)))*11)/factor_trimestre),((IF(J_V="SI",Datos!L12/Datos!K12,(Datos!L12+Datos!AB12)/(Datos!K12+Datos!AA12)))*11)/factor_trimestre," - ")</f>
        <v>0</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-0.1571969696969697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7</v>
      </c>
      <c r="F14" s="1197">
        <f t="shared" si="1"/>
        <v>111</v>
      </c>
      <c r="G14" s="1197">
        <f t="shared" si="1"/>
        <v>111</v>
      </c>
      <c r="H14" s="1198">
        <f t="shared" si="1"/>
        <v>0</v>
      </c>
      <c r="I14" s="1197">
        <f t="shared" si="1"/>
        <v>0</v>
      </c>
      <c r="J14" s="1164">
        <f t="shared" si="1"/>
        <v>0</v>
      </c>
      <c r="K14" s="1164">
        <f t="shared" si="1"/>
        <v>0</v>
      </c>
      <c r="L14" s="1198">
        <f t="shared" si="1"/>
        <v>0</v>
      </c>
      <c r="M14" s="1198">
        <f t="shared" si="1"/>
        <v>0</v>
      </c>
      <c r="N14" s="1198">
        <f t="shared" si="1"/>
        <v>947</v>
      </c>
      <c r="O14" s="1199">
        <f t="shared" si="1"/>
        <v>0</v>
      </c>
      <c r="P14" s="1199">
        <f t="shared" si="1"/>
        <v>0</v>
      </c>
      <c r="Q14" s="1198">
        <f t="shared" si="1"/>
        <v>1858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164</v>
      </c>
      <c r="AC14" s="1198">
        <f t="shared" si="2"/>
        <v>1679</v>
      </c>
      <c r="AD14" s="1198">
        <f t="shared" si="2"/>
        <v>0</v>
      </c>
      <c r="AE14" s="1198">
        <f t="shared" si="2"/>
        <v>0</v>
      </c>
      <c r="AF14" s="1198">
        <f t="shared" si="2"/>
        <v>125</v>
      </c>
      <c r="AG14" s="1198">
        <f t="shared" si="2"/>
        <v>0</v>
      </c>
      <c r="AH14" s="1198">
        <f t="shared" si="2"/>
        <v>268</v>
      </c>
      <c r="AI14" s="1198">
        <f t="shared" si="2"/>
        <v>0</v>
      </c>
      <c r="AJ14" s="1198">
        <f t="shared" si="2"/>
        <v>0</v>
      </c>
      <c r="AK14" s="1198">
        <f t="shared" si="2"/>
        <v>0</v>
      </c>
      <c r="AL14" s="1198">
        <f t="shared" si="2"/>
        <v>0</v>
      </c>
      <c r="AM14" s="1198">
        <f t="shared" si="2"/>
        <v>7373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1862</v>
      </c>
      <c r="BD14" s="1198">
        <f t="shared" si="2"/>
        <v>6259</v>
      </c>
      <c r="BE14" s="1198">
        <f t="shared" si="2"/>
        <v>0</v>
      </c>
      <c r="BF14" s="1198">
        <f t="shared" si="2"/>
        <v>0</v>
      </c>
      <c r="BG14" s="1198">
        <f>IF(ISNUMBER(Datos!K14/Datos!J14),Datos!K14/Datos!J14," - ")</f>
        <v>0.97770579268292679</v>
      </c>
      <c r="BH14" s="1202">
        <f>IF(ISNUMBER(((Datos!L14/Datos!K14)*11)/factor_trimestre),((Datos!L14/Datos!K14)*11)/factor_trimestre," - ")</f>
        <v>6.9181446111869036</v>
      </c>
      <c r="BI14" s="1198">
        <f>IF(ISNUMBER('Resol  Asuntos'!D14/NºAsuntos!G14),'Resol  Asuntos'!D14/NºAsuntos!G14," - ")</f>
        <v>0.16596844638559585</v>
      </c>
      <c r="BJ14" s="1198" t="str">
        <f>IF(ISNUMBER(Datos!CI14/Datos!CJ14),Datos!CI14/Datos!CJ14," - ")</f>
        <v xml:space="preserve"> - </v>
      </c>
      <c r="BK14" s="1198">
        <f>SUBTOTAL(9,BK8:BK13)</f>
        <v>0</v>
      </c>
      <c r="BL14" s="1198">
        <f>IF(ISNUMBER((I14-AB14+L14)/(F14)),(I14-AB14+L14)/(F14)," - ")</f>
        <v>-1.4774774774774775</v>
      </c>
      <c r="BM14" s="1203">
        <f>SUBTOTAL(9,BM9:BM13)</f>
        <v>-0.24667259586357126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1243</v>
      </c>
      <c r="G16" s="743">
        <f>IF(ISNUMBER(IF(D_I="SI",Datos!I16,Datos!I16+Datos!AC16)),IF(D_I="SI",Datos!I16,Datos!I16+Datos!AC16)," - ")</f>
        <v>1037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338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8459</v>
      </c>
      <c r="AC16" s="240">
        <f>IF(ISNUMBER(Datos!Q16),Datos!Q16," - ")</f>
        <v>235</v>
      </c>
      <c r="AD16" s="374"/>
      <c r="AE16" s="562"/>
      <c r="AF16" s="741">
        <f>IF(ISNUMBER(IF(D_I="SI",Datos!L16,Datos!L16+Datos!AF16)),IF(D_I="SI",Datos!L16,Datos!L16+Datos!AF16)," - ")</f>
        <v>1044</v>
      </c>
      <c r="AG16" s="374"/>
      <c r="AH16" s="374"/>
      <c r="AI16" s="374"/>
      <c r="AJ16" s="549"/>
      <c r="AK16" s="374"/>
      <c r="AL16" s="545"/>
      <c r="AM16" s="375">
        <f>IF(ISNUMBER(Datos!R16),Datos!R16," - ")</f>
        <v>381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984</v>
      </c>
      <c r="BD16" s="243">
        <f>IF(ISNUMBER(Datos!N16),Datos!N16," - ")</f>
        <v>5014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1.02409200968523</v>
      </c>
      <c r="BH16" s="764">
        <f>IF(ISNUMBER(((IF(D_I="SI",Datos!L16/Datos!K16,(Datos!L16+Datos!AF16)/(Datos!K16+Datos!AE16)))*11)/factor_trimestre),((IF(D_I="SI",Datos!L16/Datos!K16,(Datos!L16+Datos!AF16)/(Datos!K16+Datos!AE16)))*11)/factor_trimestre," - ")</f>
        <v>1.3576072821846554</v>
      </c>
      <c r="BI16" s="266">
        <f>IF(ISNUMBER('Resol  Asuntos'!D16/NºAsuntos!G16),'Resol  Asuntos'!D16/NºAsuntos!G16," - ")</f>
        <v>0.11632580683295898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10</v>
      </c>
      <c r="G17" s="743">
        <f>IF(ISNUMBER(IF(D_I="SI",Datos!I17,Datos!I17+Datos!AC17)),IF(D_I="SI",Datos!I17,Datos!I17+Datos!AC17)," - ")</f>
        <v>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v>
      </c>
      <c r="AC17" s="240">
        <f>IF(ISNUMBER(Datos!Q17),Datos!Q17," - ")</f>
        <v>0</v>
      </c>
      <c r="AD17" s="374"/>
      <c r="AE17" s="562"/>
      <c r="AF17" s="741">
        <f>IF(ISNUMBER(IF(D_I="SI",Datos!L17,Datos!L17+Datos!AF17)),IF(D_I="SI",Datos!L17,Datos!L17+Datos!AF17)," - ")</f>
        <v>8</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1</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f>IF(ISNUMBER(((IF(D_I="SI",Datos!L17/Datos!K17,(Datos!L17+Datos!AF17)/(Datos!K17+Datos!AE17)))*11)/factor_trimestre),((IF(D_I="SI",Datos!L17/Datos!K17,(Datos!L17+Datos!AF17)/(Datos!K17+Datos!AE17)))*11)/factor_trimestre," - ")</f>
        <v>44</v>
      </c>
      <c r="BI17" s="266">
        <f>IF(ISNUMBER('Resol  Asuntos'!D17/NºAsuntos!G17),'Resol  Asuntos'!D17/NºAsuntos!G17," - ")</f>
        <v>0</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1612</v>
      </c>
      <c r="AC18" s="547">
        <f>IF(ISNUMBER(Datos!Q18),Datos!Q18," - ")</f>
        <v>10</v>
      </c>
      <c r="AD18" s="549"/>
      <c r="AE18" s="562"/>
      <c r="AF18" s="551">
        <f>IF(ISNUMBER(Datos!L18),Datos!L18,"-")</f>
        <v>247</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49</v>
      </c>
      <c r="BD18" s="693">
        <f>IF(ISNUMBER(Datos!N18),Datos!N18," - ")</f>
        <v>935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1.0189633375474083</v>
      </c>
      <c r="BH18" s="764">
        <f>IF(ISNUMBER(((IF(D_I="SI",Datos!L18/Datos!K18,(Datos!L18+Datos!AF18)/(Datos!K18+Datos!AE18)))*11)/factor_trimestre),((IF(D_I="SI",Datos!L18/Datos!K18,(Datos!L18+Datos!AF18)/(Datos!K18+Datos!AE18)))*11)/factor_trimestre," - ")</f>
        <v>1.685483870967742</v>
      </c>
      <c r="BI18" s="763">
        <f>IF(ISNUMBER('Resol  Asuntos'!D18/NºAsuntos!G18),'Resol  Asuntos'!D18/NºAsuntos!G18," - ")</f>
        <v>3.0397022332506202E-2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1253</v>
      </c>
      <c r="G23" s="1197">
        <f>SUBTOTAL(9,G16:G22)</f>
        <v>1306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10073</v>
      </c>
      <c r="AC23" s="1198">
        <f t="shared" si="5"/>
        <v>245</v>
      </c>
      <c r="AD23" s="1198">
        <f t="shared" si="5"/>
        <v>0</v>
      </c>
      <c r="AE23" s="1198">
        <f t="shared" si="5"/>
        <v>0</v>
      </c>
      <c r="AF23" s="1198">
        <f t="shared" si="5"/>
        <v>1299</v>
      </c>
      <c r="AG23" s="1198">
        <f t="shared" si="5"/>
        <v>0</v>
      </c>
      <c r="AH23" s="1198">
        <f t="shared" si="5"/>
        <v>0</v>
      </c>
      <c r="AI23" s="1198">
        <f t="shared" si="5"/>
        <v>0</v>
      </c>
      <c r="AJ23" s="1198">
        <f t="shared" si="5"/>
        <v>0</v>
      </c>
      <c r="AK23" s="1198">
        <f t="shared" si="5"/>
        <v>0</v>
      </c>
      <c r="AL23" s="1198">
        <f t="shared" si="5"/>
        <v>0</v>
      </c>
      <c r="AM23" s="1198">
        <f t="shared" si="5"/>
        <v>387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1033</v>
      </c>
      <c r="BD23" s="1198">
        <f t="shared" si="5"/>
        <v>5950</v>
      </c>
      <c r="BE23" s="1198">
        <f t="shared" si="5"/>
        <v>0</v>
      </c>
      <c r="BF23" s="1198">
        <f t="shared" si="5"/>
        <v>0</v>
      </c>
      <c r="BG23" s="1198">
        <f>IF(ISNUMBER(Datos!K23/Datos!J23),Datos!K23/Datos!J23," - ")</f>
        <v>1.0234708392603129</v>
      </c>
      <c r="BH23" s="1202">
        <f>IF(ISNUMBER(((Datos!L23/Datos!K23)*11)/factor_trimestre),((Datos!L23/Datos!K23)*11)/factor_trimestre," - ")</f>
        <v>1.418544624243026</v>
      </c>
      <c r="BI23" s="1198">
        <f>SUBTOTAL(9,BI16:BI22)</f>
        <v>0.1467228291654652</v>
      </c>
      <c r="BJ23" s="1198">
        <f>SUBTOTAL(9,BJ16:BJ22)</f>
        <v>0</v>
      </c>
      <c r="BK23" s="1198">
        <f>SUBTOTAL(9,BK16:BK22)</f>
        <v>0</v>
      </c>
      <c r="BL23" s="1198">
        <f>IF(ISNUMBER((I23-AB23+L23)/(F23)),(I23-AB23+L23)/(F23)," - ")</f>
        <v>-8.039106145251397</v>
      </c>
      <c r="BM23" s="1205">
        <f>IF(ISNUMBER((Datos!P23-Datos!Q23)/(Datos!R23-Datos!P23+Datos!Q23)),(Datos!P23-Datos!Q23)/(Datos!R23-Datos!P23+Datos!Q23)," - ")</f>
        <v>0.34843205574912894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1364</v>
      </c>
      <c r="G31" s="1117">
        <f t="shared" si="18"/>
        <v>1417</v>
      </c>
      <c r="H31" s="1119">
        <f t="shared" si="18"/>
        <v>0</v>
      </c>
      <c r="I31" s="1117">
        <f t="shared" si="18"/>
        <v>0</v>
      </c>
      <c r="J31" s="1119">
        <f t="shared" si="18"/>
        <v>0</v>
      </c>
      <c r="K31" s="1119">
        <f t="shared" si="18"/>
        <v>0</v>
      </c>
      <c r="L31" s="1180">
        <f t="shared" si="18"/>
        <v>0</v>
      </c>
      <c r="M31" s="1180">
        <f t="shared" si="18"/>
        <v>0</v>
      </c>
      <c r="N31" s="1180">
        <f t="shared" si="18"/>
        <v>947</v>
      </c>
      <c r="O31" s="1180">
        <f t="shared" si="18"/>
        <v>0</v>
      </c>
      <c r="P31" s="1180">
        <f t="shared" si="18"/>
        <v>0</v>
      </c>
      <c r="Q31" s="1119">
        <f t="shared" si="18"/>
        <v>2203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10237</v>
      </c>
      <c r="AC31" s="1118">
        <f t="shared" si="19"/>
        <v>1924</v>
      </c>
      <c r="AD31" s="1118">
        <f t="shared" si="19"/>
        <v>0</v>
      </c>
      <c r="AE31" s="1118">
        <f t="shared" si="19"/>
        <v>0</v>
      </c>
      <c r="AF31" s="1125">
        <f t="shared" si="19"/>
        <v>1424</v>
      </c>
      <c r="AG31" s="1125">
        <f t="shared" si="19"/>
        <v>0</v>
      </c>
      <c r="AH31" s="1125">
        <f t="shared" si="19"/>
        <v>268</v>
      </c>
      <c r="AI31" s="1125">
        <f t="shared" si="19"/>
        <v>0</v>
      </c>
      <c r="AJ31" s="1118">
        <f t="shared" si="19"/>
        <v>0</v>
      </c>
      <c r="AK31" s="1125">
        <f t="shared" si="19"/>
        <v>0</v>
      </c>
      <c r="AL31" s="1125">
        <f t="shared" si="19"/>
        <v>0</v>
      </c>
      <c r="AM31" s="1125">
        <f t="shared" si="19"/>
        <v>7760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2895</v>
      </c>
      <c r="BD31" s="1117">
        <f t="shared" si="19"/>
        <v>12209</v>
      </c>
      <c r="BE31" s="1117">
        <f t="shared" si="19"/>
        <v>0</v>
      </c>
      <c r="BF31" s="1127">
        <f t="shared" si="19"/>
        <v>0</v>
      </c>
      <c r="BG31" s="1223">
        <f>IF(ISNUMBER(Datos!K31/Datos!J31),Datos!K31/Datos!J31," - ")</f>
        <v>0.99985249287048872</v>
      </c>
      <c r="BH31" s="1223">
        <f>IF(ISNUMBER(((Datos!L31/Datos!K31)*11)/factor_trimestre),((Datos!L31/Datos!K31)*11)/factor_trimestre," - ")</f>
        <v>4.1939021391689204</v>
      </c>
      <c r="BI31" s="1103">
        <f>IF(ISNUMBER(Datos!J31/Datos!I31),Datos!J31/Datos!I31," - ")</f>
        <v>3.6253119429590019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-7.5051319648093839</v>
      </c>
      <c r="BM31" s="1188">
        <f>IF(ISNUMBER((Datos!P31-Datos!Q31+R31)/(Datos!R31-Datos!P31+Datos!Q31-R31)),(Datos!P31-Datos!Q31+R31)/(Datos!R31-Datos!P31+Datos!Q31-R31)," - ")</f>
        <v>3.7294479347680792E-2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354.25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2.3295709014312749</v>
      </c>
      <c r="F33" s="673">
        <f>IF(ISNUMBER(STDEV(F8:F30)),STDEV(F8:F30),"-")</f>
        <v>588.31106122688595</v>
      </c>
      <c r="G33" s="674">
        <f>IF(ISNUMBER(STDEV(G8:G30)),STDEV(G8:G30),"-")</f>
        <v>516.70432274450457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4196.4996553250021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780.87927648545292</v>
      </c>
      <c r="BD33" s="673"/>
      <c r="BE33" s="673">
        <f>IF(ISNUMBER(STDEV(BE8:BE30)),STDEV(BE8:BE30),"-")</f>
        <v>0</v>
      </c>
      <c r="BF33" s="678">
        <f>IF(ISNUMBER(STDEV(BF8:BF30)),STDEV(BF8:BF30),"-")</f>
        <v>0</v>
      </c>
      <c r="BG33" s="1052">
        <f>IF(ISNUMBER(STDEV(BG8:BG30)),STDEV(BG8:BG30),"-")</f>
        <v>0.25794621793414746</v>
      </c>
      <c r="BH33" s="1058">
        <f>IF(ISNUMBER(STDEV(BH8:BH30)),STDEV(BH8:BH30),"-")</f>
        <v>14.568413850765079</v>
      </c>
      <c r="BI33" s="273">
        <f>IF(ISNUMBER(STDEV(BI8:BI30)),STDEV(BI8:BI30),"-")</f>
        <v>7.3000894127214291E-2</v>
      </c>
      <c r="BJ33" s="244" t="str">
        <f>IF(ISNUMBER(BL33/BM33),BL33/BM33," - ")</f>
        <v xml:space="preserve"> - </v>
      </c>
      <c r="BK33" s="709"/>
      <c r="BL33" s="681">
        <f>IF(ISNUMBER(STDEV(BL8:BL30)),STDEV(BL8:BL30),"-")</f>
        <v>4.6397721266109899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VwDkWGGzo2A9B8OayMRET5Yhl5LeLWpaU2Pb0V/XuDVFPowk2O3FwsSqznwNhRp2RKEShKhFeV/UYKD5TYRcIg==" saltValue="nojAC0YKnB60eEvhm587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TORREJON DE ARDOZ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749</v>
      </c>
      <c r="F5" s="1914" t="s">
        <v>527</v>
      </c>
      <c r="G5" s="1885" t="s">
        <v>173</v>
      </c>
      <c r="H5" s="1885" t="s">
        <v>782</v>
      </c>
      <c r="I5" s="1885" t="s">
        <v>750</v>
      </c>
      <c r="J5" s="1885" t="s">
        <v>887</v>
      </c>
      <c r="K5" s="1885" t="s">
        <v>751</v>
      </c>
      <c r="L5" s="1885" t="s">
        <v>780</v>
      </c>
      <c r="M5" s="1885" t="s">
        <v>889</v>
      </c>
      <c r="N5" s="1885" t="s">
        <v>777</v>
      </c>
      <c r="O5" s="1885" t="s">
        <v>811</v>
      </c>
      <c r="P5" s="1920" t="s">
        <v>879</v>
      </c>
      <c r="Q5" s="1920" t="s">
        <v>882</v>
      </c>
      <c r="R5" s="1885" t="s">
        <v>786</v>
      </c>
      <c r="S5" s="1885" t="s">
        <v>752</v>
      </c>
      <c r="T5" s="1885" t="s">
        <v>1035</v>
      </c>
      <c r="U5" s="1885" t="s">
        <v>1036</v>
      </c>
      <c r="V5" s="1888" t="s">
        <v>870</v>
      </c>
      <c r="W5" s="1903" t="s">
        <v>766</v>
      </c>
      <c r="X5" s="1906" t="s">
        <v>767</v>
      </c>
      <c r="Y5" s="1882" t="s">
        <v>787</v>
      </c>
      <c r="Z5" s="1882" t="s">
        <v>812</v>
      </c>
      <c r="AA5" s="1885" t="s">
        <v>756</v>
      </c>
      <c r="AB5" s="1885" t="s">
        <v>768</v>
      </c>
      <c r="AC5" s="1885" t="s">
        <v>769</v>
      </c>
      <c r="AD5" s="1885" t="s">
        <v>709</v>
      </c>
      <c r="AE5" s="1885" t="s">
        <v>890</v>
      </c>
      <c r="AF5" s="1885" t="s">
        <v>243</v>
      </c>
      <c r="AG5" s="1885" t="s">
        <v>770</v>
      </c>
      <c r="AH5" s="1885" t="s">
        <v>757</v>
      </c>
      <c r="AI5" s="1885" t="s">
        <v>758</v>
      </c>
      <c r="AJ5" s="1885" t="s">
        <v>771</v>
      </c>
      <c r="AK5" s="1885" t="s">
        <v>772</v>
      </c>
      <c r="AL5" s="1885" t="s">
        <v>773</v>
      </c>
      <c r="AM5" s="1900" t="s">
        <v>774</v>
      </c>
      <c r="AN5" s="1885" t="s">
        <v>324</v>
      </c>
      <c r="AO5" s="1885" t="s">
        <v>760</v>
      </c>
      <c r="AP5" s="1885" t="s">
        <v>761</v>
      </c>
      <c r="AQ5" s="1885" t="s">
        <v>788</v>
      </c>
      <c r="AR5" s="1885" t="s">
        <v>789</v>
      </c>
      <c r="AS5" s="1885" t="s">
        <v>791</v>
      </c>
      <c r="AT5" s="1885" t="s">
        <v>784</v>
      </c>
      <c r="AU5" s="1885" t="s">
        <v>1120</v>
      </c>
      <c r="AV5" s="1885" t="s">
        <v>436</v>
      </c>
      <c r="AW5" s="1885" t="s">
        <v>775</v>
      </c>
      <c r="AX5" s="1885" t="s">
        <v>714</v>
      </c>
      <c r="BU5" s="1885" t="s">
        <v>1037</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1814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1541</v>
      </c>
      <c r="AA9" s="551" t="str">
        <f>IF(ISNUMBER(IF(J_V="SI",Datos!L9,Datos!L9+Datos!AB9)-IF(Monitorios="SI",Datos!CD9,0)),
                          IF(J_V="SI",Datos!L9,Datos!L9+Datos!AB9)-IF(Monitorios="SI",Datos!CD9,0),
                          " - ")</f>
        <v xml:space="preserve"> - </v>
      </c>
      <c r="AB9" s="549"/>
      <c r="AC9" s="549"/>
      <c r="AD9" s="563"/>
      <c r="AE9" s="563">
        <f>IF(ISNUMBER(Datos!R9),Datos!R9," - ")</f>
        <v>6855</v>
      </c>
      <c r="AF9" s="693" t="str">
        <f>IF(ISNUMBER(Datos!BV9),Datos!BV9," - ")</f>
        <v xml:space="preserve"> - </v>
      </c>
      <c r="AG9" s="552" t="str">
        <f>IF(ISNUMBER(Datos!DV9),Datos!DV9," - ")</f>
        <v xml:space="preserve"> - </v>
      </c>
      <c r="AH9" s="553"/>
      <c r="AI9" s="554"/>
      <c r="AJ9" s="552">
        <f>IF(ISNUMBER(Datos!M9),Datos!M9," - ")</f>
        <v>1826</v>
      </c>
      <c r="AK9" s="693">
        <f>IF(ISNUMBER(Datos!N9),Datos!N9," - ")</f>
        <v>6167</v>
      </c>
      <c r="AL9" s="693" t="str">
        <f>IF(ISNUMBER(Datos!BW9),Datos!BW9," - ")</f>
        <v xml:space="preserve"> - </v>
      </c>
      <c r="AM9" s="762" t="str">
        <f>IF(ISNUMBER(Datos!BX9),Datos!BX9," - ")</f>
        <v xml:space="preserve"> - </v>
      </c>
      <c r="AN9" s="763"/>
      <c r="AO9" s="764">
        <f>IF(ISNUMBER(((NºAsuntos!I9/NºAsuntos!G9)*11)/factor_trimestre),((NºAsuntos!I9/NºAsuntos!G9)*11)/factor_trimestre," - ")</f>
        <v>6.5671493212669692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4.1476754785779398E-2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111</v>
      </c>
      <c r="G10" s="552">
        <f>IF(ISNUMBER(Datos!I10),Datos!I10," - ")</f>
        <v>111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164</v>
      </c>
      <c r="Z10" s="805">
        <f>IF(ISNUMBER(Datos!Q10),Datos!Q10," - ")</f>
        <v>35</v>
      </c>
      <c r="AA10" s="551">
        <f>IF(ISNUMBER(Datos!L10),Datos!L10,"-")</f>
        <v>125</v>
      </c>
      <c r="AB10" s="549"/>
      <c r="AC10" s="549"/>
      <c r="AD10" s="563"/>
      <c r="AE10" s="563">
        <f>IF(ISNUMBER(Datos!R10),Datos!R10," - ")</f>
        <v>73</v>
      </c>
      <c r="AF10" s="693" t="str">
        <f>IF(ISNUMBER(Datos!BV10),Datos!BV10," - ")</f>
        <v xml:space="preserve"> - </v>
      </c>
      <c r="AG10" s="552" t="str">
        <f>IF(ISNUMBER(Datos!DV10),Datos!DV10," - ")</f>
        <v xml:space="preserve"> - </v>
      </c>
      <c r="AH10" s="553"/>
      <c r="AI10" s="554"/>
      <c r="AJ10" s="552">
        <f>IF(ISNUMBER(Datos!M10),Datos!M10," - ")</f>
        <v>36</v>
      </c>
      <c r="AK10" s="693">
        <f>IF(ISNUMBER(Datos!N10),Datos!N10," - ")</f>
        <v>84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8.3841463414634152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-0.13095238095238096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103</v>
      </c>
      <c r="AA12" s="551" t="str">
        <f>IF(ISNUMBER(IF(J_V="SI",Datos!L12,Datos!L12+Datos!AB12)-IF(Monitorios="SI",Datos!CD12,0)),
                          IF(J_V="SI",Datos!L12,Datos!L12+Datos!AB12)-IF(Monitorios="SI",Datos!CD12,0),
                          " - ")</f>
        <v xml:space="preserve"> - </v>
      </c>
      <c r="AB12" s="549"/>
      <c r="AC12" s="549"/>
      <c r="AD12" s="563"/>
      <c r="AE12" s="563">
        <f>IF(ISNUMBER(Datos!R12),Datos!R12," - ")</f>
        <v>445</v>
      </c>
      <c r="AF12" s="693" t="str">
        <f>IF(ISNUMBER(Datos!BV12),Datos!BV12," - ")</f>
        <v xml:space="preserve"> - </v>
      </c>
      <c r="AG12" s="552" t="str">
        <f>IF(ISNUMBER(Datos!DV12),Datos!DV12," - ")</f>
        <v xml:space="preserve"> - </v>
      </c>
      <c r="AH12" s="553"/>
      <c r="AI12" s="554"/>
      <c r="AJ12" s="552">
        <f>IF(ISNUMBER(Datos!M12),Datos!M12," - ")</f>
        <v>0</v>
      </c>
      <c r="AK12" s="693">
        <f>IF(ISNUMBER(Datos!N12),Datos!N12," - ")</f>
        <v>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0</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-0.1571969696969697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7</v>
      </c>
      <c r="F14" s="1197">
        <f>SUBTOTAL(9,F8:F13)</f>
        <v>111</v>
      </c>
      <c r="G14" s="1197">
        <f>SUBTOTAL(9,G8:G13)</f>
        <v>111</v>
      </c>
      <c r="H14" s="1211"/>
      <c r="I14" s="1197">
        <f t="shared" ref="I14:N14" si="1">SUBTOTAL(9,I8:I13)</f>
        <v>0</v>
      </c>
      <c r="J14" s="1164">
        <f t="shared" si="1"/>
        <v>0</v>
      </c>
      <c r="K14" s="1211">
        <f t="shared" si="1"/>
        <v>0</v>
      </c>
      <c r="L14" s="1211">
        <f t="shared" si="1"/>
        <v>0</v>
      </c>
      <c r="M14" s="1211">
        <f t="shared" si="1"/>
        <v>0</v>
      </c>
      <c r="N14" s="1211">
        <f t="shared" si="1"/>
        <v>1858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164</v>
      </c>
      <c r="Z14" s="1210">
        <f t="shared" si="3"/>
        <v>1679</v>
      </c>
      <c r="AA14" s="1199">
        <f t="shared" si="3"/>
        <v>125</v>
      </c>
      <c r="AB14" s="1199">
        <f t="shared" si="3"/>
        <v>0</v>
      </c>
      <c r="AC14" s="1199">
        <f t="shared" si="3"/>
        <v>0</v>
      </c>
      <c r="AD14" s="1199">
        <f t="shared" si="3"/>
        <v>0</v>
      </c>
      <c r="AE14" s="1199">
        <f t="shared" si="3"/>
        <v>7373</v>
      </c>
      <c r="AF14" s="1211">
        <f t="shared" si="3"/>
        <v>0</v>
      </c>
      <c r="AG14" s="1211">
        <f t="shared" si="3"/>
        <v>0</v>
      </c>
      <c r="AH14" s="1211">
        <f t="shared" si="3"/>
        <v>0</v>
      </c>
      <c r="AI14" s="1211">
        <f t="shared" si="3"/>
        <v>0</v>
      </c>
      <c r="AJ14" s="1211">
        <f t="shared" si="3"/>
        <v>1862</v>
      </c>
      <c r="AK14" s="1211">
        <f t="shared" si="3"/>
        <v>6259</v>
      </c>
      <c r="AL14" s="1211">
        <f t="shared" si="3"/>
        <v>0</v>
      </c>
      <c r="AM14" s="1211">
        <f t="shared" si="3"/>
        <v>0</v>
      </c>
      <c r="AN14" s="1211">
        <f t="shared" si="3"/>
        <v>0</v>
      </c>
      <c r="AO14" s="1203">
        <f>IF(ISNUMBER(((NºAsuntos!I14/NºAsuntos!G14)*11)/factor_trimestre),((NºAsuntos!I14/NºAsuntos!G14)*11)/factor_trimestre," - ")</f>
        <v>6.5907834922898658</v>
      </c>
      <c r="AP14" s="1213" t="str">
        <f>IF(ISNUMBER(Datos!CI14/Datos!CJ14),Datos!CI14/Datos!CJ14," - ")</f>
        <v xml:space="preserve"> - </v>
      </c>
      <c r="AQ14" s="1236">
        <f t="shared" ref="AQ14:AV14" si="4">SUBTOTAL(9,AQ9:AQ13)</f>
        <v>0</v>
      </c>
      <c r="AR14" s="1236">
        <f t="shared" si="4"/>
        <v>-0.24667259586357126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1243</v>
      </c>
      <c r="G16" s="552">
        <f>IF(ISNUMBER(IF(D_I="SI",Datos!I16,Datos!I16+Datos!AC16)),IF(D_I="SI",Datos!I16,Datos!I16+Datos!AC16)," - ")</f>
        <v>1037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338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8459</v>
      </c>
      <c r="Z16" s="805">
        <f>IF(ISNUMBER(Datos!Q16),Datos!Q16," - ")</f>
        <v>235</v>
      </c>
      <c r="AA16" s="551">
        <f>IF(ISNUMBER(IF(D_I="SI",Datos!L16,Datos!L16+Datos!AF16)),IF(D_I="SI",Datos!L16,Datos!L16+Datos!AF16)," - ")</f>
        <v>1044</v>
      </c>
      <c r="AB16" s="549"/>
      <c r="AC16" s="549"/>
      <c r="AD16" s="563"/>
      <c r="AE16" s="563">
        <f>IF(ISNUMBER(Datos!R16),Datos!R16," - ")</f>
        <v>381</v>
      </c>
      <c r="AF16" s="693" t="str">
        <f>IF(ISNUMBER(Datos!BV16),Datos!BV16," - ")</f>
        <v xml:space="preserve"> - </v>
      </c>
      <c r="AG16" s="552"/>
      <c r="AH16" s="553"/>
      <c r="AI16" s="554"/>
      <c r="AJ16" s="552">
        <f>IF(ISNUMBER(Datos!M16),Datos!M16," - ")</f>
        <v>984</v>
      </c>
      <c r="AK16" s="693">
        <f>IF(ISNUMBER(Datos!N16),Datos!N16," - ")</f>
        <v>5014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1.3576072821846554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10</v>
      </c>
      <c r="G17" s="552">
        <f>IF(ISNUMBER(IF(D_I="SI",Datos!I17,Datos!I17+Datos!AC17)),IF(D_I="SI",Datos!I17,Datos!I17+Datos!AC17)," - ")</f>
        <v>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v>
      </c>
      <c r="Z17" s="805">
        <f>IF(ISNUMBER(Datos!Q17),Datos!Q17," - ")</f>
        <v>0</v>
      </c>
      <c r="AA17" s="551">
        <f>IF(ISNUMBER(IF(D_I="SI",Datos!L17,Datos!L17+Datos!AF17)),IF(D_I="SI",Datos!L17,Datos!L17+Datos!AF17)," - ")</f>
        <v>8</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1612</v>
      </c>
      <c r="Z18" s="805">
        <f>IF(ISNUMBER(Datos!Q18),Datos!Q18," - ")</f>
        <v>10</v>
      </c>
      <c r="AA18" s="551">
        <f>IF(ISNUMBER(Datos!L18),Datos!L18,"-")</f>
        <v>247</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49</v>
      </c>
      <c r="AK18" s="693">
        <f>IF(ISNUMBER(Datos!N18),Datos!N18," - ")</f>
        <v>935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1.685483870967742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1253</v>
      </c>
      <c r="G23" s="1197">
        <f>SUBTOTAL(9,G16:G22)</f>
        <v>1306</v>
      </c>
      <c r="H23" s="1240">
        <f>SUBTOTAL(9,H16:H22)</f>
        <v>0</v>
      </c>
      <c r="I23" s="1217">
        <f>SUBTOTAL(9,I16:I22)</f>
        <v>0</v>
      </c>
      <c r="J23" s="1164">
        <f>SUBTOTAL(9,J15:J22)</f>
        <v>0</v>
      </c>
      <c r="K23" s="1240">
        <f t="shared" ref="K23:S23" si="5">SUBTOTAL(9,K16:K22)</f>
        <v>0</v>
      </c>
      <c r="L23" s="1240">
        <f t="shared" si="5"/>
        <v>0</v>
      </c>
      <c r="M23" s="1240">
        <f t="shared" si="5"/>
        <v>0</v>
      </c>
      <c r="N23" s="1240">
        <f t="shared" si="5"/>
        <v>345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10073</v>
      </c>
      <c r="Z23" s="1240">
        <f t="shared" si="6"/>
        <v>245</v>
      </c>
      <c r="AA23" s="1240">
        <f t="shared" si="6"/>
        <v>1299</v>
      </c>
      <c r="AB23" s="1240">
        <f t="shared" si="6"/>
        <v>0</v>
      </c>
      <c r="AC23" s="1240">
        <f t="shared" si="6"/>
        <v>0</v>
      </c>
      <c r="AD23" s="1240">
        <f t="shared" si="6"/>
        <v>0</v>
      </c>
      <c r="AE23" s="1240">
        <f t="shared" si="6"/>
        <v>387</v>
      </c>
      <c r="AF23" s="1240">
        <f t="shared" si="6"/>
        <v>0</v>
      </c>
      <c r="AG23" s="1240">
        <f t="shared" si="6"/>
        <v>0</v>
      </c>
      <c r="AH23" s="1240">
        <f t="shared" si="6"/>
        <v>0</v>
      </c>
      <c r="AI23" s="1240">
        <f t="shared" si="6"/>
        <v>0</v>
      </c>
      <c r="AJ23" s="1240">
        <f t="shared" si="6"/>
        <v>1033</v>
      </c>
      <c r="AK23" s="1240">
        <f t="shared" si="6"/>
        <v>5950</v>
      </c>
      <c r="AL23" s="1240">
        <f t="shared" si="6"/>
        <v>0</v>
      </c>
      <c r="AM23" s="1240">
        <f t="shared" si="6"/>
        <v>0</v>
      </c>
      <c r="AN23" s="1240">
        <f t="shared" si="6"/>
        <v>0</v>
      </c>
      <c r="AO23" s="1242">
        <f>IF(ISNUMBER(((NºAsuntos!I23/NºAsuntos!G23)*11)/factor_trimestre),((NºAsuntos!I23/NºAsuntos!G23)*11)/factor_trimestre," - ")</f>
        <v>1.418544624243026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1364</v>
      </c>
      <c r="G31" s="1117">
        <f t="shared" si="12"/>
        <v>1417</v>
      </c>
      <c r="H31" s="1118">
        <f t="shared" si="12"/>
        <v>0</v>
      </c>
      <c r="I31" s="1117">
        <f t="shared" si="12"/>
        <v>0</v>
      </c>
      <c r="J31" s="1119">
        <f t="shared" si="12"/>
        <v>0</v>
      </c>
      <c r="K31" s="1117">
        <f t="shared" si="12"/>
        <v>0</v>
      </c>
      <c r="L31" s="1120">
        <f t="shared" si="12"/>
        <v>0</v>
      </c>
      <c r="M31" s="1117">
        <f t="shared" si="12"/>
        <v>0</v>
      </c>
      <c r="N31" s="1118">
        <f t="shared" si="12"/>
        <v>2203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10237</v>
      </c>
      <c r="Z31" s="1124">
        <f t="shared" si="13"/>
        <v>1924</v>
      </c>
      <c r="AA31" s="1125">
        <f t="shared" si="13"/>
        <v>1424</v>
      </c>
      <c r="AB31" s="1125">
        <f t="shared" si="13"/>
        <v>0</v>
      </c>
      <c r="AC31" s="1125">
        <f t="shared" si="13"/>
        <v>0</v>
      </c>
      <c r="AD31" s="1126">
        <f t="shared" si="13"/>
        <v>0</v>
      </c>
      <c r="AE31" s="1126">
        <f t="shared" si="13"/>
        <v>7760</v>
      </c>
      <c r="AF31" s="1127">
        <f t="shared" si="13"/>
        <v>0</v>
      </c>
      <c r="AG31" s="1128">
        <f t="shared" si="13"/>
        <v>0</v>
      </c>
      <c r="AH31" s="1129">
        <f t="shared" si="13"/>
        <v>0</v>
      </c>
      <c r="AI31" s="1127">
        <f t="shared" si="13"/>
        <v>0</v>
      </c>
      <c r="AJ31" s="1117">
        <f t="shared" si="13"/>
        <v>2895</v>
      </c>
      <c r="AK31" s="1117">
        <f t="shared" si="13"/>
        <v>12209</v>
      </c>
      <c r="AL31" s="1117">
        <f t="shared" si="13"/>
        <v>0</v>
      </c>
      <c r="AM31" s="1130">
        <f t="shared" si="13"/>
        <v>0</v>
      </c>
      <c r="AN31" s="1120">
        <f>IF(ISNUMBER(Datos!K31/Datos!J31),Datos!K31/Datos!J31," - ")</f>
        <v>0.99985249287048872</v>
      </c>
      <c r="AO31" s="1120">
        <f>IF(ISNUMBER(FIND("06",Criterios!A8,1)),(IF(ISNUMBER(((Datos!R31/Datos!Q31)*11)/factor_trimestre),((Datos!R31/Datos!Q31)*11)/factor_trimestre," - ")),(IF(ISNUMBER(((Datos!L31/Datos!K31)*11)/factor_trimestre),((Datos!L31/Datos!K31)*11)/factor_trimestre," - ")))</f>
        <v>4.1939021391689204</v>
      </c>
      <c r="AP31" s="1131" t="str">
        <f>IF(ISNUMBER(Datos!CI31/Datos!CJ31),Datos!CI31/Datos!CJ31," - ")</f>
        <v xml:space="preserve"> - </v>
      </c>
      <c r="AQ31" s="1131">
        <f>IF(OR(ISNUMBER(FIND("01",Criterios!A8,1)),ISNUMBER(FIND("02",Criterios!A8,1)),ISNUMBER(FIND("03",Criterios!A8,1)),ISNUMBER(FIND("04",Criterios!A8,1))),(J31-Y31+K31)/(F31-K31),(I31-Y31+K31)/(F31-K31))</f>
        <v>-7.5051319648093839</v>
      </c>
      <c r="AR31" s="1131">
        <f>IF(ISNUMBER((Datos!P31-Datos!Q31+O31)/(Datos!R31-Datos!P31+Datos!Q31-O31)),(Datos!P31-Datos!Q31+O31)/(Datos!R31-Datos!P31+Datos!Q31-O31)," - ")</f>
        <v>3.7294479347680792E-2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354.25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588.31106122688595</v>
      </c>
      <c r="G33" s="674">
        <f>IF(ISNUMBER(STDEV(G8:G30)),STDEV(G8:G30),"-")</f>
        <v>516.70432274450457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780.87927648545292</v>
      </c>
      <c r="AK33" s="276"/>
      <c r="AL33" s="276">
        <f>IF(ISNUMBER(STDEV(AL8:AL30)),STDEV(AL8:AL30),"-")</f>
        <v>0</v>
      </c>
      <c r="AM33" s="278">
        <f>IF(ISNUMBER(STDEV(AM8:AM30)),STDEV(AM8:AM30),"-")</f>
        <v>0</v>
      </c>
      <c r="AN33" s="660">
        <f>IF(ISNUMBER(STDEV(AN8:AN30)),STDEV(AN8:AN30),"-")</f>
        <v>0</v>
      </c>
      <c r="AO33" s="661">
        <f>IF(ISNUMBER(STDEV(AO8:AO30)),STDEV(AO8:AO30),"-")</f>
        <v>14.574885426384611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lkxFBcUxHRRmvDJbcmw6tGxmsHcntNES0yQ+fYTn5wXXaXj5TYyEp9IqO/NK/dsPdUQRwIpnLfCrh2TrYBIm4A==" saltValue="UXezpNj2vcrF9kWqyR5wJ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lvGbk1nDTgdw95GGLJhrA6HVDlzfUPOft1Wy+bVCsppBv4iN8s8vJbYVFzoiu5iL3ben2EDHm4r8eWndk8t7g==" saltValue="Xn1Aw8+U4C7KYJ55JyBq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640</v>
      </c>
      <c r="DM5" s="1777" t="s">
        <v>706</v>
      </c>
      <c r="DN5" s="1777" t="s">
        <v>707</v>
      </c>
      <c r="DO5" s="1777" t="s">
        <v>708</v>
      </c>
      <c r="DP5" s="1777" t="s">
        <v>709</v>
      </c>
      <c r="DQ5" s="1777" t="s">
        <v>710</v>
      </c>
      <c r="DR5" s="1777" t="s">
        <v>711</v>
      </c>
      <c r="DS5" s="1777" t="s">
        <v>712</v>
      </c>
      <c r="DT5" s="1777" t="s">
        <v>713</v>
      </c>
      <c r="DU5" s="1778" t="s">
        <v>714</v>
      </c>
      <c r="DV5" s="1756" t="s">
        <v>715</v>
      </c>
      <c r="DW5" s="1753" t="s">
        <v>716</v>
      </c>
      <c r="DX5" s="1777" t="s">
        <v>717</v>
      </c>
      <c r="DY5" s="1750" t="s">
        <v>718</v>
      </c>
      <c r="DZ5" s="1753" t="s">
        <v>719</v>
      </c>
      <c r="EA5" s="1750" t="s">
        <v>720</v>
      </c>
      <c r="EB5" s="1784" t="s">
        <v>780</v>
      </c>
      <c r="EC5" s="1784" t="s">
        <v>781</v>
      </c>
      <c r="ED5" s="1784" t="s">
        <v>782</v>
      </c>
      <c r="EE5" s="1784" t="s">
        <v>822</v>
      </c>
      <c r="EF5" s="1784" t="s">
        <v>826</v>
      </c>
      <c r="EG5" s="1750" t="s">
        <v>824</v>
      </c>
      <c r="EH5" s="1750" t="s">
        <v>825</v>
      </c>
      <c r="EI5" s="1750" t="s">
        <v>784</v>
      </c>
      <c r="EJ5" s="1750" t="s">
        <v>785</v>
      </c>
      <c r="EK5" s="1765" t="s">
        <v>873</v>
      </c>
      <c r="EL5" s="1768" t="s">
        <v>891</v>
      </c>
      <c r="EM5" s="1769"/>
      <c r="EN5" s="1770"/>
      <c r="EO5" s="1762" t="s">
        <v>991</v>
      </c>
      <c r="EP5" s="1762" t="s">
        <v>993</v>
      </c>
      <c r="EQ5" s="1762" t="s">
        <v>994</v>
      </c>
      <c r="ER5" s="1762" t="s">
        <v>1007</v>
      </c>
      <c r="ES5" s="1762" t="s">
        <v>1009</v>
      </c>
      <c r="ET5" s="1759" t="s">
        <v>1097</v>
      </c>
      <c r="EU5" s="1759" t="s">
        <v>1098</v>
      </c>
      <c r="EV5" s="1870" t="s">
        <v>1119</v>
      </c>
      <c r="EW5" s="1870" t="s">
        <v>1125</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990</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892</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1099</v>
      </c>
      <c r="EU8" s="1519" t="s">
        <v>1100</v>
      </c>
      <c r="EV8" s="165" t="s">
        <v>1108</v>
      </c>
      <c r="EW8" s="165">
        <v>153</v>
      </c>
      <c r="EX8" s="532" t="s">
        <v>1161</v>
      </c>
      <c r="EY8" s="532" t="s">
        <v>1175</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L8ExOz4WYEWnBaweQjTfG6CaDEfehJoEaE9cjkwhE0eOWJGcoB77NLrCvOv2T21eVfrNhiiQ6D8LmRIthH4fw==" saltValue="3aRQ+a+kkBMLhAjw+RXkN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TORREJON DE ARDOZ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749</v>
      </c>
      <c r="F5" s="1914" t="s">
        <v>527</v>
      </c>
      <c r="G5" s="1885" t="s">
        <v>173</v>
      </c>
      <c r="H5" s="1885" t="s">
        <v>782</v>
      </c>
      <c r="I5" s="1885" t="s">
        <v>750</v>
      </c>
      <c r="J5" s="1885" t="s">
        <v>867</v>
      </c>
      <c r="K5" s="1885" t="s">
        <v>751</v>
      </c>
      <c r="L5" s="1885" t="s">
        <v>706</v>
      </c>
      <c r="M5" s="1917" t="s">
        <v>780</v>
      </c>
      <c r="N5" s="1885" t="s">
        <v>924</v>
      </c>
      <c r="O5" s="1885" t="s">
        <v>883</v>
      </c>
      <c r="P5" s="1885" t="s">
        <v>229</v>
      </c>
      <c r="Q5" s="1920" t="s">
        <v>879</v>
      </c>
      <c r="R5" s="1920" t="s">
        <v>925</v>
      </c>
      <c r="S5" s="1885" t="s">
        <v>783</v>
      </c>
      <c r="T5" s="1920" t="s">
        <v>752</v>
      </c>
      <c r="U5" s="1920" t="s">
        <v>1035</v>
      </c>
      <c r="V5" s="1920" t="s">
        <v>1036</v>
      </c>
      <c r="W5" s="1903" t="s">
        <v>808</v>
      </c>
      <c r="X5" s="1906" t="s">
        <v>753</v>
      </c>
      <c r="Y5" s="1903" t="s">
        <v>754</v>
      </c>
      <c r="Z5" s="1903" t="s">
        <v>755</v>
      </c>
      <c r="AA5" s="1885" t="s">
        <v>884</v>
      </c>
      <c r="AB5" s="1885" t="s">
        <v>890</v>
      </c>
      <c r="AC5" s="1885" t="s">
        <v>243</v>
      </c>
      <c r="AD5" s="1891" t="s">
        <v>241</v>
      </c>
      <c r="AE5" s="1885" t="s">
        <v>885</v>
      </c>
      <c r="AF5" s="1894" t="s">
        <v>886</v>
      </c>
      <c r="AG5" s="1897" t="s">
        <v>715</v>
      </c>
      <c r="AH5" s="1885" t="s">
        <v>716</v>
      </c>
      <c r="AI5" s="1885" t="s">
        <v>806</v>
      </c>
      <c r="AJ5" s="1900" t="s">
        <v>807</v>
      </c>
      <c r="AK5" s="1897" t="s">
        <v>244</v>
      </c>
      <c r="AL5" s="1885" t="s">
        <v>759</v>
      </c>
      <c r="AM5" s="1885" t="s">
        <v>322</v>
      </c>
      <c r="AN5" s="1885" t="s">
        <v>323</v>
      </c>
      <c r="AO5" s="1885" t="s">
        <v>324</v>
      </c>
      <c r="AP5" s="1885" t="s">
        <v>760</v>
      </c>
      <c r="AQ5" s="1885" t="s">
        <v>325</v>
      </c>
      <c r="AR5" s="1885" t="s">
        <v>761</v>
      </c>
      <c r="AS5" s="1885" t="s">
        <v>762</v>
      </c>
      <c r="AT5" s="1885" t="s">
        <v>763</v>
      </c>
      <c r="AU5" s="1885" t="s">
        <v>791</v>
      </c>
      <c r="AV5" s="1885" t="s">
        <v>784</v>
      </c>
      <c r="AW5" s="1885" t="s">
        <v>1120</v>
      </c>
      <c r="AX5" s="1885" t="s">
        <v>1124</v>
      </c>
      <c r="AY5" s="1885" t="s">
        <v>1126</v>
      </c>
      <c r="AZ5" s="1885" t="s">
        <v>785</v>
      </c>
      <c r="BA5" s="1885" t="s">
        <v>1176</v>
      </c>
      <c r="BB5" s="1885" t="s">
        <v>764</v>
      </c>
      <c r="BC5" s="1885" t="s">
        <v>714</v>
      </c>
      <c r="BW5" s="1885" t="s">
        <v>1037</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0.16596844638559585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0.11735741390225077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L21/EAljvsrvwVpJ8BlygZVDPDa63V5GAmH7u1ZItBuL+v1VOJ07I1vc4/VjnJD+7oPq1sKp67Y/RVTJoXsJPA==" saltValue="+6wx6hB3iDB1BfR9gSlQ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8kfyNzrRbsJldtpWZYlfEiYhP4D5Pkns4ISvq7Wt6S1bjQKJfrqTnDdntwjd0AXOswC/ga9B0+nPrxd3NhBGA==" saltValue="euWoxvD25wF5jTESdZoZ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TORREJON DE ARDOZ</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996</v>
      </c>
      <c r="L5" s="1572" t="s">
        <v>1059</v>
      </c>
      <c r="M5" s="1572" t="s">
        <v>1163</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4352</v>
      </c>
      <c r="D9" s="452">
        <f>IF(ISNUMBER(C9/Datos!BH9),C9/Datos!BH9," - ")</f>
        <v>725.33333333333337</v>
      </c>
      <c r="E9" s="451">
        <f>IF(ISNUMBER(IF(J_V="SI",Datos!J9,Datos!J9+Datos!Z9)),IF(J_V="SI",Datos!J9,Datos!J9+Datos!Z9)," - ")</f>
        <v>11262</v>
      </c>
      <c r="F9" s="452">
        <f>IF(ISNUMBER(E9/B9),E9/B9," - ")</f>
        <v>1877</v>
      </c>
      <c r="G9" s="451">
        <f>IF(ISNUMBER(IF(J_V="SI",Datos!K9,Datos!K9+Datos!AA9)),IF(J_V="SI",Datos!K9,Datos!K9+Datos!AA9)," - ")</f>
        <v>11050</v>
      </c>
      <c r="H9" s="452">
        <f>IF(ISNUMBER(G9/B9),G9/B9," - ")</f>
        <v>1841.6666666666667</v>
      </c>
      <c r="I9" s="451">
        <f>IF(ISNUMBER(IF(J_V="SI",Datos!L9,Datos!L9+Datos!AB9)),IF(J_V="SI",Datos!L9,Datos!L9+Datos!AB9)," - ")</f>
        <v>6597</v>
      </c>
      <c r="J9" s="452">
        <f>IF(ISNUMBER(I9/B9),I9/B9," - ")</f>
        <v>1099.5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111</v>
      </c>
      <c r="D10" s="452">
        <f>IF(ISNUMBER(C10/Datos!BH10),C10/Datos!BH10," - ")</f>
        <v>111</v>
      </c>
      <c r="E10" s="451">
        <f>IF(ISNUMBER(Datos!J10),Datos!J10," - ")</f>
        <v>178</v>
      </c>
      <c r="F10" s="452">
        <f>IF(ISNUMBER(E10/B10),E10/B10," - ")</f>
        <v>178</v>
      </c>
      <c r="G10" s="451">
        <f>IF(ISNUMBER(Datos!K10),Datos!K10," - ")</f>
        <v>164</v>
      </c>
      <c r="H10" s="452">
        <f>IF(ISNUMBER(G10/B10),G10/B10," - ")</f>
        <v>164</v>
      </c>
      <c r="I10" s="451">
        <f>IF(ISNUMBER(Datos!L10),Datos!L10," - ")</f>
        <v>125</v>
      </c>
      <c r="J10" s="452">
        <f>IF(ISNUMBER(I10/B10),I10/B10," - ")</f>
        <v>125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2</v>
      </c>
      <c r="D12" s="452" t="str">
        <f>IF(ISNUMBER(C12/Datos!BH12),C12/Datos!BH12," - ")</f>
        <v xml:space="preserve"> - </v>
      </c>
      <c r="E12" s="451">
        <f>IF(ISNUMBER(IF(J_V="SI",Datos!J12,Datos!J12+Datos!Z12)),IF(J_V="SI",Datos!J12,Datos!J12+Datos!Z12)," - ")</f>
        <v>3</v>
      </c>
      <c r="F12" s="452" t="str">
        <f>IF(ISNUMBER(E12/B12),E12/B12," - ")</f>
        <v xml:space="preserve"> - </v>
      </c>
      <c r="G12" s="451">
        <f>IF(ISNUMBER(IF(J_V="SI",Datos!K12,Datos!K12+Datos!AA12)),IF(J_V="SI",Datos!K12,Datos!K12+Datos!AA12)," - ")</f>
        <v>5</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4465</v>
      </c>
      <c r="D14" s="1147" t="str">
        <f>IF(ISNUMBER(C14/Datos!BI14),C14/Datos!BI14," - ")</f>
        <v xml:space="preserve"> - </v>
      </c>
      <c r="E14" s="1146">
        <f>SUBTOTAL(9,E8:E13)</f>
        <v>11443</v>
      </c>
      <c r="F14" s="1147">
        <f>IF(ISNUMBER(E14/B14),E14/B14," - ")</f>
        <v>1634.7142857142858</v>
      </c>
      <c r="G14" s="1146">
        <f>SUBTOTAL(9,G8:G13)</f>
        <v>11219</v>
      </c>
      <c r="H14" s="1147">
        <f>IF(ISNUMBER(G14/B14),G14/B14," - ")</f>
        <v>1602.7142857142858</v>
      </c>
      <c r="I14" s="1146">
        <f>SUBTOTAL(9,I8:I13)</f>
        <v>6722</v>
      </c>
      <c r="J14" s="1147">
        <f>IF(ISNUMBER(I14/B14),I14/B14," - ")</f>
        <v>960.28571428571433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1037</v>
      </c>
      <c r="D16" s="452">
        <f>IF(ISNUMBER(C16/Datos!BH16),C16/Datos!BH16," - ")</f>
        <v>259.25</v>
      </c>
      <c r="E16" s="451">
        <f>IF(ISNUMBER(IF(D_I="SI",Datos!J16,Datos!J16+Datos!AD16)),IF(D_I="SI",Datos!J16,Datos!J16+Datos!AD16)," - ")</f>
        <v>8260</v>
      </c>
      <c r="F16" s="452">
        <f>IF(ISNUMBER(E16/B16),E16/B16," - ")</f>
        <v>2065</v>
      </c>
      <c r="G16" s="451">
        <f>IF(ISNUMBER(IF(D_I="SI",Datos!K16,Datos!K16+Datos!AE16)),IF(D_I="SI",Datos!K16,Datos!K16+Datos!AE16)," - ")</f>
        <v>8459</v>
      </c>
      <c r="H16" s="452">
        <f>IF(ISNUMBER(G16/B16),G16/B16," - ")</f>
        <v>2114.75</v>
      </c>
      <c r="I16" s="451">
        <f>IF(ISNUMBER(IF(D_I="SI",Datos!L16,Datos!L16+Datos!AF16)),IF(D_I="SI",Datos!L16,Datos!L16+Datos!AF16)," - ")</f>
        <v>1044</v>
      </c>
      <c r="J16" s="452">
        <f>IF(ISNUMBER(I16/B16),I16/B16," - ")</f>
        <v>261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2</v>
      </c>
      <c r="H17" s="452" t="str">
        <f>IF(ISNUMBER(G17/B17),G17/B17," - ")</f>
        <v xml:space="preserve"> - </v>
      </c>
      <c r="I17" s="451">
        <f>IF(ISNUMBER(IF(D_I="SI",Datos!L17,Datos!L17+Datos!AF17)),IF(D_I="SI",Datos!L17,Datos!L17+Datos!AF17)," - ")</f>
        <v>8</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259</v>
      </c>
      <c r="D18" s="452">
        <f>IF(ISNUMBER(C18/Datos!BH18),C18/Datos!BH18," - ")</f>
        <v>259</v>
      </c>
      <c r="E18" s="451">
        <f>IF(ISNUMBER(IF(D_I="SI",Datos!J18,Datos!J18+Datos!AD18)),IF(D_I="SI",Datos!J18,Datos!J18+Datos!AD18)," - ")</f>
        <v>1582</v>
      </c>
      <c r="F18" s="452">
        <f>IF(ISNUMBER(E18/B18),E18/B18," - ")</f>
        <v>1582</v>
      </c>
      <c r="G18" s="451">
        <f>IF(ISNUMBER(IF(D_I="SI",Datos!K18,Datos!K18+Datos!AE18)),IF(D_I="SI",Datos!K18,Datos!K18+Datos!AE18)," - ")</f>
        <v>1612</v>
      </c>
      <c r="H18" s="452">
        <f>IF(ISNUMBER(G18/B18),G18/B18," - ")</f>
        <v>1612</v>
      </c>
      <c r="I18" s="451">
        <f>IF(ISNUMBER(IF(D_I="SI",Datos!L18,Datos!L18+Datos!AF18)),IF(D_I="SI",Datos!L18,Datos!L18+Datos!AF18)," - ")</f>
        <v>247</v>
      </c>
      <c r="J18" s="452">
        <f>IF(ISNUMBER(I18/B18),I18/B18," - ")</f>
        <v>247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1306</v>
      </c>
      <c r="D23" s="1147" t="str">
        <f>IF(ISNUMBER(C23/Datos!BI23),C23/Datos!BI23," - ")</f>
        <v xml:space="preserve"> - </v>
      </c>
      <c r="E23" s="1146">
        <f>SUBTOTAL(9,E15:E22)</f>
        <v>9842</v>
      </c>
      <c r="F23" s="1147">
        <f>IF(ISNUMBER(E23/B23),E23/B23," - ")</f>
        <v>1968.4</v>
      </c>
      <c r="G23" s="1146">
        <f>SUBTOTAL(9,G15:G22)</f>
        <v>10073</v>
      </c>
      <c r="H23" s="1147">
        <f>IF(ISNUMBER(G23/B23),G23/B23," - ")</f>
        <v>2014.6</v>
      </c>
      <c r="I23" s="1146">
        <f>SUBTOTAL(9,I15:I22)</f>
        <v>1299</v>
      </c>
      <c r="J23" s="1147">
        <f>IF(ISNUMBER(I23/B23),I23/B23," - ")</f>
        <v>259.8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5771</v>
      </c>
      <c r="D31" s="1085" t="str">
        <f>IF(ISNUMBER(C31/Datos!BI31),C31/Datos!BI31," - ")</f>
        <v xml:space="preserve"> - </v>
      </c>
      <c r="E31" s="1084">
        <f>SUBTOTAL(9,E9:E30)</f>
        <v>21285</v>
      </c>
      <c r="F31" s="1085">
        <f>IF(ISNUMBER(E31/B31),E31/B31," - ")</f>
        <v>1935</v>
      </c>
      <c r="G31" s="1084">
        <f>SUBTOTAL(9,G9:G30)</f>
        <v>21292</v>
      </c>
      <c r="H31" s="1085">
        <f>IF(ISNUMBER(G31/B31),G31/B31," - ")</f>
        <v>1935.6363636363637</v>
      </c>
      <c r="I31" s="1084">
        <f>SUBTOTAL(9,I9:I30)</f>
        <v>8021</v>
      </c>
      <c r="J31" s="1085">
        <f>IF(ISNUMBER(I31/B31),I31/B31," - ")</f>
        <v>729.18181818181813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Zdig0ymWX/2Mg8WUPiMzGlMLxqD9fX0b3SSHmBPORw8bJ8NMo0ZBGnGamhxrD3Bl99AxnEIVNYqIfvM7S18Kzw==" saltValue="/fL1HcFK5H3frgdC6wMY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TORREJON DE ARDOZ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749</v>
      </c>
      <c r="F5" s="1914" t="s">
        <v>527</v>
      </c>
      <c r="G5" s="1885" t="s">
        <v>173</v>
      </c>
      <c r="H5" s="1885" t="s">
        <v>898</v>
      </c>
      <c r="I5" s="1885" t="s">
        <v>899</v>
      </c>
      <c r="J5" s="1885" t="s">
        <v>902</v>
      </c>
      <c r="K5" s="1885" t="s">
        <v>903</v>
      </c>
      <c r="L5" s="1885" t="s">
        <v>780</v>
      </c>
      <c r="M5" s="1885" t="s">
        <v>924</v>
      </c>
      <c r="N5" s="1885" t="s">
        <v>904</v>
      </c>
      <c r="O5" s="1885" t="s">
        <v>900</v>
      </c>
      <c r="P5" s="1885" t="s">
        <v>229</v>
      </c>
      <c r="Q5" s="1885" t="s">
        <v>879</v>
      </c>
      <c r="R5" s="1885" t="s">
        <v>925</v>
      </c>
      <c r="S5" s="1885" t="str">
        <f>"Ingreso Computable 2003" &amp; IF(OR(EXACT(LEFT(boletin,2),"04"),EXACT(LEFT(boletin,2),"14"),EXACT(LEFT(boletin,2),"17"))," (Civil + Penal)","")</f>
        <v>Ingreso Computable 2003</v>
      </c>
      <c r="T5" s="1885" t="s">
        <v>901</v>
      </c>
      <c r="U5" s="1920" t="str">
        <f>"% Ingreso Computable 2003" &amp; IF(OR(EXACT(LEFT(boletin,2),"04"),EXACT(LEFT(boletin,2),"14"),EXACT(LEFT(boletin,2),"17"))," (Civil + Penal)","")</f>
        <v>% Ingreso Computable 2003</v>
      </c>
      <c r="V5" s="1920" t="s">
        <v>905</v>
      </c>
      <c r="W5" s="1885" t="s">
        <v>1029</v>
      </c>
      <c r="X5" s="1885" t="s">
        <v>1030</v>
      </c>
      <c r="Y5" s="1888" t="s">
        <v>870</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906</v>
      </c>
      <c r="AC5" s="1944" t="s">
        <v>907</v>
      </c>
      <c r="AD5" s="1944" t="s">
        <v>908</v>
      </c>
      <c r="AE5" s="1944" t="s">
        <v>909</v>
      </c>
      <c r="AF5" s="1885" t="s">
        <v>910</v>
      </c>
      <c r="AG5" s="1885" t="s">
        <v>911</v>
      </c>
      <c r="AH5" s="1885" t="s">
        <v>912</v>
      </c>
      <c r="AI5" s="1885" t="s">
        <v>913</v>
      </c>
      <c r="AJ5" s="1885" t="s">
        <v>243</v>
      </c>
      <c r="AK5" s="1897" t="s">
        <v>715</v>
      </c>
      <c r="AL5" s="1897" t="s">
        <v>244</v>
      </c>
      <c r="AM5" s="1885" t="s">
        <v>759</v>
      </c>
      <c r="AN5" s="1885" t="s">
        <v>322</v>
      </c>
      <c r="AO5" s="1885" t="s">
        <v>323</v>
      </c>
      <c r="AP5" s="1885" t="s">
        <v>914</v>
      </c>
      <c r="AQ5" s="1885" t="s">
        <v>915</v>
      </c>
      <c r="AR5" s="1885" t="s">
        <v>916</v>
      </c>
      <c r="AS5" s="1885" t="s">
        <v>917</v>
      </c>
      <c r="AT5" s="1885" t="s">
        <v>918</v>
      </c>
      <c r="AU5" s="1885" t="s">
        <v>919</v>
      </c>
      <c r="AV5" s="1885" t="s">
        <v>920</v>
      </c>
      <c r="AW5" s="1885" t="s">
        <v>921</v>
      </c>
      <c r="AX5" s="1885" t="s">
        <v>1120</v>
      </c>
      <c r="AY5" s="1885" t="s">
        <v>1124</v>
      </c>
      <c r="AZ5" s="1885" t="s">
        <v>922</v>
      </c>
      <c r="BA5" s="1885" t="s">
        <v>923</v>
      </c>
      <c r="BB5" s="1885" t="s">
        <v>714</v>
      </c>
      <c r="BC5" s="1744" t="s">
        <v>930</v>
      </c>
      <c r="BD5" s="1744" t="s">
        <v>931</v>
      </c>
      <c r="BE5" s="1914" t="s">
        <v>932</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111</v>
      </c>
      <c r="G10" s="906">
        <f>IF(ISNUMBER(Datos!I10),Datos!I10," - ")</f>
        <v>111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164</v>
      </c>
      <c r="AC10" s="905" t="str">
        <f>IF(ISNUMBER(IF(D_I="SI",DatosP!K18,DatosP!K18+DatosP!AE18)),IF(D_I="SI",DatosP!K18,DatosP!K18+DatosP!AE18)," - ")</f>
        <v xml:space="preserve"> - </v>
      </c>
      <c r="AD10" s="907"/>
      <c r="AE10" s="907"/>
      <c r="AF10" s="910">
        <f>IF(ISNUMBER(Datos!L10),Datos!L10,"-")</f>
        <v>125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36</v>
      </c>
      <c r="AM10" s="914">
        <f>IF(ISNUMBER(Datos!N10+DatosP!N18),Datos!N10+DatosP!N18," - ")</f>
        <v>84</v>
      </c>
      <c r="AN10" s="914">
        <f>IF(ISNUMBER(Datos!BW10+DatosP!BW18),Datos!BW10+DatosP!BW18," - ")</f>
        <v>0</v>
      </c>
      <c r="AO10" s="915">
        <f>IF(ISNUMBER(Datos!BX10+DatosP!BX18),Datos!BX10+DatosP!BX18," - ")</f>
        <v>0</v>
      </c>
      <c r="AP10" s="917">
        <f>IF(ISNUMBER(((Datos!L10/Datos!K10)*11)/factor_trimestre),((Datos!L10/Datos!K10)*11)/factor_trimestre," - ")</f>
        <v>8.3841463414634152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0</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-0.1571969696969697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111</v>
      </c>
      <c r="G14" s="1256">
        <f t="shared" si="0"/>
        <v>111</v>
      </c>
      <c r="H14" s="1256">
        <f t="shared" si="0"/>
        <v>0</v>
      </c>
      <c r="I14" s="1258">
        <f t="shared" si="0"/>
        <v>0</v>
      </c>
      <c r="J14" s="1257">
        <f t="shared" si="0"/>
        <v>0</v>
      </c>
      <c r="K14" s="1257">
        <f t="shared" si="0"/>
        <v>0</v>
      </c>
      <c r="L14" s="1259">
        <f t="shared" si="0"/>
        <v>0</v>
      </c>
      <c r="M14" s="1259">
        <f t="shared" si="0"/>
        <v>0</v>
      </c>
      <c r="N14" s="1257">
        <f t="shared" si="0"/>
        <v>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164</v>
      </c>
      <c r="AC14" s="1257">
        <f t="shared" si="1"/>
        <v>0</v>
      </c>
      <c r="AD14" s="1257">
        <f t="shared" si="1"/>
        <v>103</v>
      </c>
      <c r="AE14" s="1257">
        <f t="shared" si="1"/>
        <v>0</v>
      </c>
      <c r="AF14" s="1257">
        <f t="shared" si="1"/>
        <v>125</v>
      </c>
      <c r="AG14" s="1257">
        <f t="shared" si="1"/>
        <v>0</v>
      </c>
      <c r="AH14" s="1257">
        <f t="shared" si="1"/>
        <v>445</v>
      </c>
      <c r="AI14" s="1257">
        <f t="shared" si="1"/>
        <v>0</v>
      </c>
      <c r="AJ14" s="1257">
        <f t="shared" si="1"/>
        <v>0</v>
      </c>
      <c r="AK14" s="1257">
        <f t="shared" si="1"/>
        <v>0</v>
      </c>
      <c r="AL14" s="1257">
        <f t="shared" si="1"/>
        <v>36</v>
      </c>
      <c r="AM14" s="1257">
        <f t="shared" si="1"/>
        <v>92</v>
      </c>
      <c r="AN14" s="1257">
        <f t="shared" si="1"/>
        <v>0</v>
      </c>
      <c r="AO14" s="1257">
        <f t="shared" si="1"/>
        <v>0</v>
      </c>
      <c r="AP14" s="1262">
        <f>IF(ISNUMBER(((Datos!L14/Datos!K14)*11)/factor_trimestre),((Datos!L14/Datos!K14)*11)/factor_trimestre," - ")</f>
        <v>6.9181446111869036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-1.4774774774774775</v>
      </c>
      <c r="AU14" s="1257" t="str">
        <f>IF(ISNUMBER((DatosP!#REF!-DatosP!#REF!+DatosP!#REF!)/(DatosP!#REF!+DatosP!#REF!-DatosP!#REF!-DatosP!#REF!)),(DatosP!#REF!-DatosP!#REF!+DatosP!#REF!)/(DatosP!#REF!+DatosP!#REF!-DatosP!#REF!-DatosP!#REF!)," - ")</f>
        <v xml:space="preserve"> - </v>
      </c>
      <c r="AV14" s="1263">
        <f>SUBTOTAL(9,AV9:AV13)</f>
        <v>-0.1571969696969697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1.418544624243026</v>
      </c>
      <c r="AQ23" s="1262">
        <f>IF(ISNUMBER(((Datos!M23/Datos!L23)*11)/factor_trimestre),((Datos!M23/Datos!L23)*11)/factor_trimestre," - ")</f>
        <v>8.7474980754426479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0.34843205574912894</v>
      </c>
      <c r="AW23" s="1265">
        <f>IF(ISNUMBER((Datos!Q23-Datos!R23)/(Datos!S23-Datos!Q23+Datos!R23)),(Datos!Q23-Datos!R23)/(Datos!S23-Datos!Q23+Datos!R23)," - ")</f>
        <v>-0.10252707581227437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111</v>
      </c>
      <c r="G31" s="1278">
        <f t="shared" si="8"/>
        <v>111</v>
      </c>
      <c r="H31" s="1278">
        <f t="shared" si="8"/>
        <v>0</v>
      </c>
      <c r="I31" s="1279">
        <f t="shared" si="8"/>
        <v>0</v>
      </c>
      <c r="J31" s="1280">
        <f t="shared" si="8"/>
        <v>0</v>
      </c>
      <c r="K31" s="1280">
        <f t="shared" si="8"/>
        <v>0</v>
      </c>
      <c r="L31" s="1280">
        <f t="shared" si="8"/>
        <v>0</v>
      </c>
      <c r="M31" s="1280">
        <f t="shared" si="8"/>
        <v>0</v>
      </c>
      <c r="N31" s="1279">
        <f t="shared" si="8"/>
        <v>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164</v>
      </c>
      <c r="AC31" s="1284">
        <f t="shared" si="9"/>
        <v>0</v>
      </c>
      <c r="AD31" s="1284">
        <f t="shared" si="9"/>
        <v>103</v>
      </c>
      <c r="AE31" s="1284">
        <f t="shared" si="9"/>
        <v>0</v>
      </c>
      <c r="AF31" s="1285">
        <f t="shared" si="9"/>
        <v>125</v>
      </c>
      <c r="AG31" s="1285">
        <f t="shared" si="9"/>
        <v>0</v>
      </c>
      <c r="AH31" s="1285">
        <f t="shared" si="9"/>
        <v>445</v>
      </c>
      <c r="AI31" s="1285">
        <f t="shared" si="9"/>
        <v>0</v>
      </c>
      <c r="AJ31" s="1286">
        <f t="shared" si="9"/>
        <v>0</v>
      </c>
      <c r="AK31" s="1286">
        <f t="shared" si="9"/>
        <v>0</v>
      </c>
      <c r="AL31" s="1278">
        <f t="shared" si="9"/>
        <v>36</v>
      </c>
      <c r="AM31" s="1278">
        <f t="shared" si="9"/>
        <v>92</v>
      </c>
      <c r="AN31" s="1278">
        <f t="shared" si="9"/>
        <v>0</v>
      </c>
      <c r="AO31" s="1278">
        <f t="shared" si="9"/>
        <v>0</v>
      </c>
      <c r="AP31" s="1278">
        <f>IF(ISNUMBER(((Datos!L31/Datos!K31)*11)/factor_trimestre),((Datos!L31/Datos!K31)*11)/factor_trimestre," - ")</f>
        <v>4.1939021391689204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-1.4774774774774775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3.7294479347680792E-2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60.797203883073443</v>
      </c>
      <c r="G33" s="1007">
        <f>IF(ISNUMBER(STDEV(G8:G30)),STDEV(G8:G30),"-")</f>
        <v>60.797203883073443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89.82649943084725</v>
      </c>
      <c r="AC33" s="1008">
        <f>IF(ISNUMBER(STDEV(AC8:AC30)),STDEV(AC8:AC30),"-")</f>
        <v>0</v>
      </c>
      <c r="AD33" s="1011"/>
      <c r="AE33" s="1011"/>
      <c r="AF33" s="1011"/>
      <c r="AG33" s="1011"/>
      <c r="AH33" s="1011"/>
      <c r="AI33" s="1011"/>
      <c r="AJ33" s="1012">
        <f>IF(ISNUMBER(STDEV(AJ8:AJ30)),STDEV(AJ8:AJ30),"-")</f>
        <v>0</v>
      </c>
      <c r="AK33" s="1014"/>
      <c r="AL33" s="1006">
        <f>IF(ISNUMBER(STDEV(AL8:AL30)),STDEV(AL8:AL30),"-")</f>
        <v>18.590320061795602</v>
      </c>
      <c r="AM33" s="1006"/>
      <c r="AN33" s="1006">
        <f>IF(ISNUMBER(STDEV(AN8:AN30)),STDEV(AN8:AN30),"-")</f>
        <v>0</v>
      </c>
      <c r="AO33" s="1012">
        <f>IF(ISNUMBER(STDEV(AO8:AO30)),STDEV(AO8:AO30),"-")</f>
        <v>0</v>
      </c>
      <c r="AP33" s="1065">
        <f>IF(ISNUMBER(STDEV(AP8:AP30)),STDEV(AP8:AP30),"-")</f>
        <v>4.0935037148292261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9wGnI7f9KPQZV2NgQrgyCfMX/LXtX/HB1stpifK9n5OUd5P3wlvbYkoLRlwjYDt76PE5ME6Saq7rGnoA2Of1AQ==" saltValue="VQAyut5DXr7Xt7Ga0KIb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TORREJON DE ARDOZ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qrfnU47EfgME4/UC0Vsj2J+3zlWx5J/2jqIfdZRfNbmHh6339Z8SsxYF9Cc8jOMAleHknj6cJEXrm3fBUqtd+A==" saltValue="XiEBNTfbY2Q/RiCCLGCDq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TORREJON DE ARDOZ</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1826</v>
      </c>
      <c r="E9" s="452">
        <f t="shared" ref="E9:E14" si="0">IF(ISNUMBER(D9/B9),D9/B9," - ")</f>
        <v>304.33333333333331</v>
      </c>
      <c r="F9" s="451">
        <f>IF(ISNUMBER(Datos!N9),Datos!N9," - ")</f>
        <v>6167</v>
      </c>
      <c r="G9" s="452">
        <f t="shared" ref="G9:G14" si="1">IF(ISNUMBER(F9/B9),F9/B9," - ")</f>
        <v>1027.8333333333333</v>
      </c>
      <c r="H9" s="451">
        <f>IF(ISNUMBER(Datos!O9),Datos!O9," - ")</f>
        <v>3605</v>
      </c>
      <c r="I9" s="452">
        <f>IF(ISNUMBER(H9/B9),H9/B9," - ")</f>
        <v>600.83333333333337</v>
      </c>
    </row>
    <row r="10" spans="1:9">
      <c r="A10" s="450" t="str">
        <f>Datos!A10</f>
        <v>Jdos. Violencia contra la mujer</v>
      </c>
      <c r="B10" s="480">
        <f>Datos!AO10</f>
        <v>1</v>
      </c>
      <c r="C10" s="458">
        <f>Datos!AQ10</f>
        <v>1</v>
      </c>
      <c r="D10" s="451">
        <f>IF(ISNUMBER(Datos!M10),Datos!M10," - ")</f>
        <v>36</v>
      </c>
      <c r="E10" s="452">
        <f>IF(ISNUMBER(D10/B10),D10/B10," - ")</f>
        <v>36</v>
      </c>
      <c r="F10" s="451">
        <f>IF(ISNUMBER(Datos!N10),Datos!N10," - ")</f>
        <v>84</v>
      </c>
      <c r="G10" s="452">
        <f>IF(ISNUMBER(F10/B10),F10/B10," - ")</f>
        <v>84</v>
      </c>
      <c r="H10" s="451">
        <f>IF(ISNUMBER(Datos!O10),Datos!O10," - ")</f>
        <v>36</v>
      </c>
      <c r="I10" s="452">
        <f t="shared" ref="I10:I13" si="2">IF(ISNUMBER(H10/B10),H10/B10," - ")</f>
        <v>36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8</v>
      </c>
      <c r="G12" s="452" t="str">
        <f t="shared" si="1"/>
        <v xml:space="preserve"> - </v>
      </c>
      <c r="H12" s="451">
        <f>IF(ISNUMBER(Datos!O12),Datos!O12," - ")</f>
        <v>44</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1862</v>
      </c>
      <c r="E14" s="1147">
        <f t="shared" si="0"/>
        <v>266</v>
      </c>
      <c r="F14" s="1146">
        <f>SUBTOTAL(9,F9:F13)</f>
        <v>6259</v>
      </c>
      <c r="G14" s="1147">
        <f t="shared" si="1"/>
        <v>894.14285714285711</v>
      </c>
      <c r="H14" s="1146">
        <f>SUBTOTAL(9,H9:H13)</f>
        <v>3685</v>
      </c>
      <c r="I14" s="1147">
        <f>IF(ISNUMBER(H14/B14),H14/B14," - ")</f>
        <v>526.42857142857144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984</v>
      </c>
      <c r="E16" s="452">
        <f t="shared" ref="E16:E23" si="3">IF(ISNUMBER(D16/B16),D16/B16," - ")</f>
        <v>246</v>
      </c>
      <c r="F16" s="451">
        <f>IF(ISNUMBER(Datos!N16),Datos!N16," - ")</f>
        <v>5014</v>
      </c>
      <c r="G16" s="452">
        <f t="shared" ref="G16:G23" si="4">IF(ISNUMBER(F16/B16),F16/B16," - ")</f>
        <v>1253.5</v>
      </c>
      <c r="H16" s="451">
        <f>IF(ISNUMBER(Datos!O16),Datos!O16," - ")</f>
        <v>88</v>
      </c>
      <c r="I16" s="452">
        <f t="shared" ref="I16:I22" si="5">IF(ISNUMBER(H16/B16),H16/B16," - ")</f>
        <v>22</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1</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49</v>
      </c>
      <c r="E18" s="452">
        <f>IF(ISNUMBER(D18/B18),D18/B18," - ")</f>
        <v>49</v>
      </c>
      <c r="F18" s="451">
        <f>IF(ISNUMBER(Datos!N18),Datos!N18," - ")</f>
        <v>935</v>
      </c>
      <c r="G18" s="452">
        <f>IF(ISNUMBER(F18/B18),F18/B18," - ")</f>
        <v>935</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1033</v>
      </c>
      <c r="E23" s="1147">
        <f t="shared" si="3"/>
        <v>206.6</v>
      </c>
      <c r="F23" s="1146">
        <f>SUBTOTAL(9,F16:F22)</f>
        <v>5950</v>
      </c>
      <c r="G23" s="1147">
        <f t="shared" si="4"/>
        <v>1190</v>
      </c>
      <c r="H23" s="1146">
        <f>SUBTOTAL(9,H16:H22)</f>
        <v>90</v>
      </c>
      <c r="I23" s="1147">
        <f>IF(ISNUMBER(H23/B23),H23/B23," - ")</f>
        <v>18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2895</v>
      </c>
      <c r="E31" s="1085">
        <f>IF(ISNUMBER(D31/B31),D31/B31," - ")</f>
        <v>263.18181818181819</v>
      </c>
      <c r="F31" s="1084">
        <f>SUBTOTAL(9,F8:F30)</f>
        <v>12209</v>
      </c>
      <c r="G31" s="1085">
        <f>IF(ISNUMBER(F31/B31),F31/B31," - ")</f>
        <v>1109.909090909091</v>
      </c>
      <c r="H31" s="1084">
        <f>SUBTOTAL(9,H8:H30)</f>
        <v>3775</v>
      </c>
      <c r="I31" s="1085">
        <f>IF(ISNUMBER(H31/B31),H31/B31," - ")</f>
        <v>343.18181818181819</v>
      </c>
    </row>
    <row r="34" spans="1:1">
      <c r="A34" s="439" t="str">
        <f>Criterios!A4</f>
        <v>Fecha Informe: 15 abr. 2023</v>
      </c>
    </row>
    <row r="39" spans="1:1">
      <c r="A39" s="462"/>
    </row>
  </sheetData>
  <sheetProtection algorithmName="SHA-512" hashValue="8dsV1d5b5NxDOP5JMr1s15j1CBmGpCRU3edouuMsSfDf9kK7vhEnsdAsCy4jFxbSZ6jqinr097s8yT6WJ6CrxA==" saltValue="j5e0XKi3EmBxU+LzREcQ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TORREJON DE ARDOZ</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1814</v>
      </c>
      <c r="C9" s="489">
        <f>IF(ISNUMBER(Datos!Q9),Datos!Q9," - ")</f>
        <v>1541</v>
      </c>
      <c r="D9" s="456">
        <f>IF(ISNUMBER(Datos!R9),Datos!R9," - ")</f>
        <v>6855</v>
      </c>
    </row>
    <row r="10" spans="1:4">
      <c r="A10" s="450" t="str">
        <f>Datos!A10</f>
        <v>Jdos. Violencia contra la mujer</v>
      </c>
      <c r="B10" s="488">
        <f>IF(ISNUMBER(Datos!P10),Datos!P10," - ")</f>
        <v>24</v>
      </c>
      <c r="C10" s="489">
        <f>IF(ISNUMBER(Datos!Q10),Datos!Q10," - ")</f>
        <v>35</v>
      </c>
      <c r="D10" s="456">
        <f>IF(ISNUMBER(Datos!R10),Datos!R10," - ")</f>
        <v>73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v>
      </c>
      <c r="C12" s="489">
        <f>IF(ISNUMBER(Datos!Q12),Datos!Q12," - ")</f>
        <v>103</v>
      </c>
      <c r="D12" s="456">
        <f>IF(ISNUMBER(Datos!R12),Datos!R12," - ")</f>
        <v>445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1858</v>
      </c>
      <c r="C14" s="1150">
        <f>SUBTOTAL(9,C9:C13)</f>
        <v>1679</v>
      </c>
      <c r="D14" s="1148">
        <f>SUBTOTAL(9,D9:D13)</f>
        <v>7373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338</v>
      </c>
      <c r="C16" s="489">
        <f>IF(ISNUMBER(Datos!Q16),Datos!Q16," - ")</f>
        <v>235</v>
      </c>
      <c r="D16" s="456">
        <f>IF(ISNUMBER(Datos!R16),Datos!R16," - ")</f>
        <v>381</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7</v>
      </c>
      <c r="C18" s="489">
        <f>IF(ISNUMBER(Datos!Q18),Datos!Q18," - ")</f>
        <v>10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345</v>
      </c>
      <c r="C23" s="1150">
        <f>SUBTOTAL(9,C16:C22)</f>
        <v>245</v>
      </c>
      <c r="D23" s="1148">
        <f>SUBTOTAL(9,D16:D22)</f>
        <v>387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2203</v>
      </c>
      <c r="C31" s="1089">
        <f>SUBTOTAL(9,C8:C30)</f>
        <v>1924</v>
      </c>
      <c r="D31" s="1090">
        <f>SUBTOTAL(9,D8:D30)</f>
        <v>7760</v>
      </c>
    </row>
    <row r="32" spans="1:4" ht="7.5" customHeight="1"/>
    <row r="33" spans="1:1" ht="6" customHeight="1"/>
    <row r="34" spans="1:1">
      <c r="A34" s="439" t="str">
        <f>Criterios!A4</f>
        <v>Fecha Informe: 15 abr. 2023</v>
      </c>
    </row>
    <row r="39" spans="1:1">
      <c r="A39" s="462"/>
    </row>
  </sheetData>
  <sheetProtection algorithmName="SHA-512" hashValue="VN1bvRpiiNbLsn53uwQ7yrM15TCCp4E7m6zKpA4Nyi+qfOJJgb2c96hJtvC/3gjSAJEKwFoliPFyngRXpRG21g==" saltValue="orDWGrtAUma8dhL59/q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TORREJON DE ARDOZ</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2.5689370728258307E-2</v>
      </c>
      <c r="C9" s="515">
        <f>IF(ISNUMBER(
   IF(J_V="SI",(Datos!J9-Datos!T9)/Datos!T9,(Datos!J9+Datos!Z9-(Datos!T9+Datos!AH9))/(Datos!T9+Datos!AH9))
     ),IF(J_V="SI",(Datos!J9-Datos!T9)/Datos!T9,(Datos!J9+Datos!Z9-(Datos!T9+Datos!AH9))/(Datos!T9+Datos!AH9))," - ")</f>
        <v>0.20397690827453496</v>
      </c>
      <c r="D9" s="515">
        <f>IF(ISNUMBER(
   IF(J_V="SI",(Datos!K9-Datos!U9)/Datos!U9,(Datos!K9+Datos!AA9-(Datos!U9+Datos!AI9))/(Datos!U9+Datos!AI9))
     ),IF(J_V="SI",(Datos!K9-Datos!U9)/Datos!U9,(Datos!K9+Datos!AA9-(Datos!U9+Datos!AI9))/(Datos!U9+Datos!AI9))," - ")</f>
        <v>0.12985685071574643</v>
      </c>
      <c r="E9" s="515">
        <f>IF(ISNUMBER(
   IF(J_V="SI",(Datos!L9-Datos!V9)/Datos!V9,(Datos!L9+Datos!AB9-(Datos!V9+Datos!AJ9))/(Datos!V9+Datos!AJ9))
     ),IF(J_V="SI",(Datos!L9-Datos!V9)/Datos!V9,(Datos!L9+Datos!AB9-(Datos!V9+Datos!AJ9))/(Datos!V9+Datos!AJ9))," - ")</f>
        <v>0.51585477941176472</v>
      </c>
      <c r="F9" s="515">
        <f>IF(ISNUMBER((Datos!M9-Datos!W9)/Datos!W9),(Datos!M9-Datos!W9)/Datos!W9," - ")</f>
        <v>1.8973214285714284E-2</v>
      </c>
      <c r="G9" s="516">
        <f>IF(ISNUMBER((Datos!N9-Datos!X9)/Datos!X9),(Datos!N9-Datos!X9)/Datos!X9," - ")</f>
        <v>0.15335702262951187</v>
      </c>
      <c r="H9" s="514">
        <f>IF(ISNUMBER(((NºAsuntos!G9/NºAsuntos!E9)-Datos!BD9)/Datos!BD9),((NºAsuntos!G9/NºAsuntos!E9)-Datos!BD9)/Datos!BD9," - ")</f>
        <v>-6.1562690321870735E-2</v>
      </c>
      <c r="I9" s="515">
        <f>IF(ISNUMBER(((NºAsuntos!I9/NºAsuntos!G9)-Datos!BE9)/Datos!BE9),((NºAsuntos!I9/NºAsuntos!G9)-Datos!BE9)/Datos!BE9," - ")</f>
        <v>0.34163436585041268</v>
      </c>
      <c r="J9" s="521">
        <f>IF(ISNUMBER((('Resol  Asuntos'!D9/NºAsuntos!G9)-Datos!BF9)/Datos!BF9),(('Resol  Asuntos'!D9/NºAsuntos!G9)-Datos!BF9)/Datos!BF9," - ")</f>
        <v>-0.69774940403000119</v>
      </c>
      <c r="K9" s="522">
        <f>IF(ISNUMBER((((NºAsuntos!C9+NºAsuntos!E9)/NºAsuntos!G9)-Datos!BG9)/Datos!BG9),(((NºAsuntos!C9+NºAsuntos!E9)/NºAsuntos!G9)-Datos!BG9)/Datos!BG9," - ")</f>
        <v>1.6360209881272049E-2</v>
      </c>
    </row>
    <row r="10" spans="1:11">
      <c r="A10" s="450" t="str">
        <f>Datos!A10</f>
        <v>Jdos. Violencia contra la mujer</v>
      </c>
      <c r="B10" s="514">
        <f>IF(ISNUMBER((Datos!I10-Datos!S10)/Datos!S10),(Datos!I10-Datos!S10)/Datos!S10," - ")</f>
        <v>7.7669902912621352E-2</v>
      </c>
      <c r="C10" s="515">
        <f>IF(ISNUMBER((Datos!J10-Datos!T10)/Datos!T10),(Datos!J10-Datos!T10)/Datos!T10," - ")</f>
        <v>0.10559006211180125</v>
      </c>
      <c r="D10" s="515">
        <f>IF(ISNUMBER((Datos!K10-Datos!U10)/Datos!U10),(Datos!K10-Datos!U10)/Datos!U10," - ")</f>
        <v>7.1895424836601302E-2</v>
      </c>
      <c r="E10" s="515">
        <f>IF(ISNUMBER((Datos!L10-Datos!V10)/Datos!V10),(Datos!L10-Datos!V10)/Datos!V10," - ")</f>
        <v>0.12612612612612611</v>
      </c>
      <c r="F10" s="515">
        <f>IF(ISNUMBER((Datos!M10-Datos!W10)/Datos!W10),(Datos!M10-Datos!W10)/Datos!W10," - ")</f>
        <v>-0.25</v>
      </c>
      <c r="G10" s="516">
        <f>IF(ISNUMBER((Datos!N10-Datos!X10)/Datos!X10),(Datos!N10-Datos!X10)/Datos!X10," - ")</f>
        <v>0.68</v>
      </c>
      <c r="H10" s="514">
        <f>IF(ISNUMBER(((NºAsuntos!G10/NºAsuntos!E10)-Datos!BD10)/Datos!BD10),((NºAsuntos!G10/NºAsuntos!E10)-Datos!BD10)/Datos!BD10," - ")</f>
        <v>-3.0476610119703297E-2</v>
      </c>
      <c r="I10" s="515">
        <f>IF(ISNUMBER(((NºAsuntos!I10/NºAsuntos!G10)-Datos!BE10)/Datos!BE10),((NºAsuntos!I10/NºAsuntos!G10)-Datos!BE10)/Datos!BE10," - ")</f>
        <v>5.0593276203032347E-2</v>
      </c>
      <c r="J10" s="521">
        <f>IF(ISNUMBER((('Resol  Asuntos'!D10/NºAsuntos!G10)-Datos!BF10)/Datos!BF10),(('Resol  Asuntos'!D10/NºAsuntos!G10)-Datos!BF10)/Datos!BF10," - ")</f>
        <v>-0.30030487804878048</v>
      </c>
      <c r="K10" s="522">
        <f>IF(ISNUMBER((((NºAsuntos!C10+NºAsuntos!E10)/NºAsuntos!G10)-Datos!BG10)/Datos!BG10),(((NºAsuntos!C10+NºAsuntos!E10)/NºAsuntos!G10)-Datos!BG10)/Datos!BG10," - ")</f>
        <v>2.1272172949002171E-2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f>IF(ISNUMBER(
   IF(J_V="SI",(Datos!J12-Datos!T12)/Datos!T12,(Datos!J12+Datos!Z12-(Datos!T12+Datos!AH12))/(Datos!T12+Datos!AH12))
     ),IF(J_V="SI",(Datos!J12-Datos!T12)/Datos!T12,(Datos!J12+Datos!Z12-(Datos!T12+Datos!AH12))/(Datos!T12+Datos!AH12))," - ")</f>
        <v>-0.4</v>
      </c>
      <c r="D12" s="515">
        <f>IF(ISNUMBER(
   IF(J_V="SI",(Datos!K12-Datos!U12)/Datos!U12,(Datos!K12+Datos!AA12-(Datos!U12+Datos!AI12))/(Datos!U12+Datos!AI12))
     ),IF(J_V="SI",(Datos!K12-Datos!U12)/Datos!U12,(Datos!K12+Datos!AA12-(Datos!U12+Datos!AI12))/(Datos!U12+Datos!AI12))," - ")</f>
        <v>0.25</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f>IF(ISNUMBER((Datos!N12-Datos!X12)/Datos!X12),(Datos!N12-Datos!X12)/Datos!X12," - ")</f>
        <v>0.14285714285714285</v>
      </c>
      <c r="H12" s="514">
        <f>IF(ISNUMBER(((NºAsuntos!G12/NºAsuntos!E12)-Datos!BD12)/Datos!BD12),((NºAsuntos!G12/NºAsuntos!E12)-Datos!BD12)/Datos!BD12," - ")</f>
        <v>1.0833333333333333</v>
      </c>
      <c r="I12" s="515">
        <f>IF(ISNUMBER(((NºAsuntos!I12/NºAsuntos!G12)-Datos!BE12)/Datos!BE12),((NºAsuntos!I12/NºAsuntos!G12)-Datos!BE12)/Datos!BE12," - ")</f>
        <v>-1</v>
      </c>
      <c r="J12" s="521">
        <f>IF(ISNUMBER((('Resol  Asuntos'!D12/NºAsuntos!G12)-Datos!BF12)/Datos!BF12),(('Resol  Asuntos'!D12/NºAsuntos!G12)-Datos!BF12)/Datos!BF12," - ")</f>
        <v>-1</v>
      </c>
      <c r="K12" s="522">
        <f>IF(ISNUMBER((((NºAsuntos!C12+NºAsuntos!E12)/NºAsuntos!G12)-Datos!BG12)/Datos!BG12),(((NºAsuntos!C12+NºAsuntos!E12)/NºAsuntos!G12)-Datos!BG12)/Datos!BG12," - ")</f>
        <v>-0.33333333333333331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2.7145157579940189E-2</v>
      </c>
      <c r="C14" s="1152">
        <f>IF(ISNUMBER(
   IF(J_V="SI",(Datos!J14-Datos!T14)/Datos!T14,(Datos!J14+Datos!Z14-(Datos!T14+Datos!AH14))/(Datos!T14+Datos!AH14))
     ),IF(J_V="SI",(Datos!J14-Datos!T14)/Datos!T14,(Datos!J14+Datos!Z14-(Datos!T14+Datos!AH14))/(Datos!T14+Datos!AH14))," - ")</f>
        <v>0.20199579831932774</v>
      </c>
      <c r="D14" s="1152">
        <f>IF(ISNUMBER(
   IF(J_V="SI",(Datos!K14-Datos!U14)/Datos!U14,(Datos!K14+Datos!AA14-(Datos!U14+Datos!AI14))/(Datos!U14+Datos!AI14))
     ),IF(J_V="SI",(Datos!K14-Datos!U14)/Datos!U14,(Datos!K14+Datos!AA14-(Datos!U14+Datos!AI14))/(Datos!U14+Datos!AI14))," - ")</f>
        <v>0.12901278051725873</v>
      </c>
      <c r="E14" s="1152">
        <f>IF(ISNUMBER(
   IF(J_V="SI",(Datos!L14-Datos!V14)/Datos!V14,(Datos!L14+Datos!AB14-(Datos!V14+Datos!AJ14))/(Datos!V14+Datos!AJ14))
     ),IF(J_V="SI",(Datos!L14-Datos!V14)/Datos!V14,(Datos!L14+Datos!AB14-(Datos!V14+Datos!AJ14))/(Datos!V14+Datos!AJ14))," - ")</f>
        <v>0.50548712206047031</v>
      </c>
      <c r="F14" s="1153">
        <f>IF(ISNUMBER((Datos!M14-Datos!W14)/Datos!W14),(Datos!M14-Datos!W14)/Datos!W14," - ")</f>
        <v>1.1956521739130435E-2</v>
      </c>
      <c r="G14" s="1154">
        <f>IF(ISNUMBER((Datos!N14-Datos!X14)/Datos!X14),(Datos!N14-Datos!X14)/Datos!X14," - ")</f>
        <v>0.15821613619541081</v>
      </c>
      <c r="H14" s="1154">
        <f>IF(ISNUMBER(((NºAsuntos!G14/NºAsuntos!E14)-Datos!BD14)/Datos!BD14),((NºAsuntos!G14/NºAsuntos!E14)-Datos!BD14)/Datos!BD14," - ")</f>
        <v>-6.07181971052781E-2</v>
      </c>
      <c r="I14" s="1154">
        <f>IF(ISNUMBER(((NºAsuntos!I14/NºAsuntos!G14)-Datos!BE14)/Datos!BE14),((NºAsuntos!I14/NºAsuntos!G14)-Datos!BE14)/Datos!BE14," - ")</f>
        <v>0.33345445511319133</v>
      </c>
      <c r="J14" s="1154">
        <f>IF(ISNUMBER((('Resol  Asuntos'!D14/NºAsuntos!G14)-Datos!BF14)/Datos!BF14),(('Resol  Asuntos'!D14/NºAsuntos!G14)-Datos!BF14)/Datos!BF14," - ")</f>
        <v>-0.69470039767981007</v>
      </c>
      <c r="K14" s="1154">
        <f>IF(ISNUMBER((((NºAsuntos!C14+NºAsuntos!E14)/NºAsuntos!G14)-Datos!BG14)/Datos!BG14),(((NºAsuntos!C14+NºAsuntos!E14)/NºAsuntos!G14)-Datos!BG14)/Datos!BG14," - ")</f>
        <v>1.6094752619548122E-2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1.966568338249754E-2</v>
      </c>
      <c r="C16" s="515">
        <f>IF(ISNUMBER(
   IF(D_I="SI",(Datos!J16-Datos!T16)/Datos!T16,(Datos!J16+Datos!AD16-(Datos!T16+Datos!AL16))/(Datos!T16+Datos!AL16))
     ),IF(D_I="SI",(Datos!J16-Datos!T16)/Datos!T16,(Datos!J16+Datos!AD16-(Datos!T16+Datos!AL16))/(Datos!T16+Datos!AL16))," - ")</f>
        <v>3.2758189547386844E-2</v>
      </c>
      <c r="D16" s="515">
        <f>IF(ISNUMBER(
   IF(D_I="SI",(Datos!K16-Datos!U16)/Datos!U16,(Datos!K16+Datos!AE16-(Datos!U16+Datos!AM16))/(Datos!U16+Datos!AM16))
     ),IF(D_I="SI",(Datos!K16-Datos!U16)/Datos!U16,(Datos!K16+Datos!AE16-(Datos!U16+Datos!AM16))/(Datos!U16+Datos!AM16))," - ")</f>
        <v>3.6007348438456828E-2</v>
      </c>
      <c r="E16" s="515">
        <f>IF(ISNUMBER(
   IF(D_I="SI",(Datos!L16-Datos!V16)/Datos!V16,(Datos!L16+Datos!AF16-(Datos!V16+Datos!AN16))/(Datos!V16+Datos!AN16))
     ),IF(D_I="SI",(Datos!L16-Datos!V16)/Datos!V16,(Datos!L16+Datos!AF16-(Datos!V16+Datos!AN16))/(Datos!V16+Datos!AN16))," - ")</f>
        <v>6.7502410800385727E-3</v>
      </c>
      <c r="F16" s="515">
        <f>IF(ISNUMBER((Datos!M16-Datos!W16)/Datos!W16),(Datos!M16-Datos!W16)/Datos!W16," - ")</f>
        <v>2.0746887966804978E-2</v>
      </c>
      <c r="G16" s="516">
        <f>IF(ISNUMBER((Datos!N16-Datos!X16)/Datos!X16),(Datos!N16-Datos!X16)/Datos!X16," - ")</f>
        <v>5.1373453554204238E-2</v>
      </c>
      <c r="H16" s="514">
        <f>IF(ISNUMBER(((NºAsuntos!G16/NºAsuntos!E16)-Datos!BD16)/Datos!BD16),((NºAsuntos!G16/NºAsuntos!E16)-Datos!BD16)/Datos!BD16," - ")</f>
        <v>3.146098403241762E-3</v>
      </c>
      <c r="I16" s="515">
        <f>IF(ISNUMBER(((NºAsuntos!I16/NºAsuntos!G16)-Datos!BE16)/Datos!BE16),((NºAsuntos!I16/NºAsuntos!G16)-Datos!BE16)/Datos!BE16," - ")</f>
        <v>-2.8240250807599458E-2</v>
      </c>
      <c r="J16" s="521">
        <f>IF(ISNUMBER((('Resol  Asuntos'!D16/NºAsuntos!G16)-Datos!BF16)/Datos!BF16),(('Resol  Asuntos'!D16/NºAsuntos!G16)-Datos!BF16)/Datos!BF16," - ")</f>
        <v>-1.4730069718765509E-2</v>
      </c>
      <c r="K16" s="522">
        <f>IF(ISNUMBER((((NºAsuntos!C16+NºAsuntos!E16)/NºAsuntos!G16)-Datos!BG16)/Datos!BG16),(((NºAsuntos!C16+NºAsuntos!E16)/NºAsuntos!G16)-Datos!BG16)/Datos!BG16," - ")</f>
        <v>-4.5618889115532565E-3</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-0.16666666666666666</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0</v>
      </c>
      <c r="E17" s="515">
        <f>IF(ISNUMBER(
   IF(D_I="SI",(Datos!L17-Datos!V17)/Datos!V17,(Datos!L17+Datos!AF17-(Datos!V17+Datos!AN17))/(Datos!V17+Datos!AN17))
     ),IF(D_I="SI",(Datos!L17-Datos!V17)/Datos!V17,(Datos!L17+Datos!AF17-(Datos!V17+Datos!AN17))/(Datos!V17+Datos!AN17))," - ")</f>
        <v>-0.2</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f>IF(ISNUMBER(((NºAsuntos!I17/NºAsuntos!G17)-Datos!BE17)/Datos!BE17),((NºAsuntos!I17/NºAsuntos!G17)-Datos!BE17)/Datos!BE17," - ")</f>
        <v>-0.2</v>
      </c>
      <c r="J17" s="521" t="str">
        <f>IF(ISNUMBER((('Resol  Asuntos'!D17/NºAsuntos!G17)-Datos!BF17)/Datos!BF17),(('Resol  Asuntos'!D17/NºAsuntos!G17)-Datos!BF17)/Datos!BF17," - ")</f>
        <v xml:space="preserve"> - </v>
      </c>
      <c r="K17" s="522">
        <f>IF(ISNUMBER((((NºAsuntos!C17+NºAsuntos!E17)/NºAsuntos!G17)-Datos!BG17)/Datos!BG17),(((NºAsuntos!C17+NºAsuntos!E17)/NºAsuntos!G17)-Datos!BG17)/Datos!BG17," - ")</f>
        <v>-0.16666666666666666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0.2102803738317757</v>
      </c>
      <c r="C18" s="515">
        <f>IF(ISNUMBER(
   IF(D_I="SI",(Datos!J18-Datos!T18)/Datos!T18,(Datos!J18+Datos!AD18-(Datos!T18+Datos!AL18))/(Datos!T18+Datos!AL18))
     ),IF(D_I="SI",(Datos!J18-Datos!T18)/Datos!T18,(Datos!J18+Datos!AD18-(Datos!T18+Datos!AL18))/(Datos!T18+Datos!AL18))," - ")</f>
        <v>-0.1171875</v>
      </c>
      <c r="D18" s="515">
        <f>IF(ISNUMBER(
   IF(D_I="SI",(Datos!K18-Datos!U18)/Datos!U18,(Datos!K18+Datos!AE18-(Datos!U18+Datos!AM18))/(Datos!U18+Datos!AM18))
     ),IF(D_I="SI",(Datos!K18-Datos!U18)/Datos!U18,(Datos!K18+Datos!AE18-(Datos!U18+Datos!AM18))/(Datos!U18+Datos!AM18))," - ")</f>
        <v>1.2422360248447205E-3</v>
      </c>
      <c r="E18" s="515">
        <f>IF(ISNUMBER(
   IF(D_I="SI",(Datos!L18-Datos!V18)/Datos!V18,(Datos!L18+Datos!AF18-(Datos!V18+Datos!AN18))/(Datos!V18+Datos!AN18))
     ),IF(D_I="SI",(Datos!L18-Datos!V18)/Datos!V18,(Datos!L18+Datos!AF18-(Datos!V18+Datos!AN18))/(Datos!V18+Datos!AN18))," - ")</f>
        <v>-4.633204633204633E-2</v>
      </c>
      <c r="F18" s="515">
        <f>IF(ISNUMBER((Datos!M18-Datos!W18)/Datos!W18),(Datos!M18-Datos!W18)/Datos!W18," - ")</f>
        <v>0.22500000000000001</v>
      </c>
      <c r="G18" s="516">
        <f>IF(ISNUMBER((Datos!N18-Datos!X18)/Datos!X18),(Datos!N18-Datos!X18)/Datos!X18," - ")</f>
        <v>-3.7075180226570546E-2</v>
      </c>
      <c r="H18" s="514">
        <f>IF(ISNUMBER(((NºAsuntos!G18/NºAsuntos!E18)-Datos!BD18)/Datos!BD18),((NºAsuntos!G18/NºAsuntos!E18)-Datos!BD18)/Datos!BD18," - ")</f>
        <v>0.13415049744407187</v>
      </c>
      <c r="I18" s="515">
        <f>IF(ISNUMBER(((NºAsuntos!I18/NºAsuntos!G18)-Datos!BE18)/Datos!BE18),((NºAsuntos!I18/NºAsuntos!G18)-Datos!BE18)/Datos!BE18," - ")</f>
        <v>-4.7515257192676456E-2</v>
      </c>
      <c r="J18" s="521">
        <f>IF(ISNUMBER((('Resol  Asuntos'!D18/NºAsuntos!G18)-Datos!BF18)/Datos!BF18),(('Resol  Asuntos'!D18/NºAsuntos!G18)-Datos!BF18)/Datos!BF18," - ")</f>
        <v>0.22348014888337472</v>
      </c>
      <c r="K18" s="522">
        <f>IF(ISNUMBER((((NºAsuntos!C18+NºAsuntos!E18)/NºAsuntos!G18)-Datos!BG18)/Datos!BG18),(((NºAsuntos!C18+NºAsuntos!E18)/NºAsuntos!G18)-Datos!BG18)/Datos!BG18," - ")</f>
        <v>-8.3391883901644981E-2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5.0683829444891394E-2</v>
      </c>
      <c r="C23" s="1152">
        <f>IF(ISNUMBER(
   IF(Criterios!B14="SI",(Datos!J23-Datos!T23)/Datos!T23,(Datos!J23+Datos!AD23-(Datos!T23+Datos!AL23))/(Datos!T23+Datos!AL23))
     ),IF(Criterios!B14="SI",(Datos!J23-Datos!T23)/Datos!T23,(Datos!J23+Datos!AD23-(Datos!T23+Datos!AL23))/(Datos!T23+Datos!AL23))," - ")</f>
        <v>5.3115423901940757E-3</v>
      </c>
      <c r="D23" s="1152">
        <f>IF(ISNUMBER(
   IF(Criterios!B14="SI",(Datos!K23-Datos!U23)/Datos!U23,(Datos!K23+Datos!AE23-(Datos!U23+Datos!AM23))/(Datos!U23+Datos!AM23))
     ),IF(Criterios!B14="SI",(Datos!K23-Datos!U23)/Datos!U23,(Datos!K23+Datos!AE23-(Datos!U23+Datos!AM23))/(Datos!U23+Datos!AM23))," - ")</f>
        <v>3.0275135522143806E-2</v>
      </c>
      <c r="E23" s="1152">
        <f>IF(ISNUMBER(
   IF(Criterios!B14="SI",(Datos!L23-Datos!V23)/Datos!V23,(Datos!L23+Datos!AF23-(Datos!V23+Datos!AN23))/(Datos!V23+Datos!AN23))
     ),IF(Criterios!B14="SI",(Datos!L23-Datos!V23)/Datos!V23,(Datos!L23+Datos!AF23-(Datos!V23+Datos!AN23))/(Datos!V23+Datos!AN23))," - ")</f>
        <v>-5.3598774885145481E-3</v>
      </c>
      <c r="F23" s="1153">
        <f>IF(ISNUMBER((Datos!M23-Datos!W23)/Datos!W23),(Datos!M23-Datos!W23)/Datos!W23," - ")</f>
        <v>2.8884462151394421E-2</v>
      </c>
      <c r="G23" s="1154">
        <f>IF(ISNUMBER((Datos!N23-Datos!X23)/Datos!X23),(Datos!N23-Datos!X23)/Datos!X23," - ")</f>
        <v>3.6585365853658534E-2</v>
      </c>
      <c r="H23" s="1154">
        <f>IF(ISNUMBER(((NºAsuntos!G23/NºAsuntos!E23)-Datos!BD23)/Datos!BD23),((NºAsuntos!G23/NºAsuntos!E23)-Datos!BD23)/Datos!BD23," - ")</f>
        <v>2.4831698512679041E-2</v>
      </c>
      <c r="I23" s="1154">
        <f>IF(ISNUMBER(((NºAsuntos!I23/NºAsuntos!G23)-Datos!BE23)/Datos!BE23),((NºAsuntos!I23/NºAsuntos!G23)-Datos!BE23)/Datos!BE23," - ")</f>
        <v>-3.4587860836414852E-2</v>
      </c>
      <c r="J23" s="1154">
        <f>IF(ISNUMBER((('Resol  Asuntos'!D23/NºAsuntos!G23)-Datos!BF23)/Datos!BF23),(('Resol  Asuntos'!D23/NºAsuntos!G23)-Datos!BF23)/Datos!BF23," - ")</f>
        <v>-1.3498077579486656E-3</v>
      </c>
      <c r="K23" s="1154">
        <f>IF(ISNUMBER((((NºAsuntos!C23+NºAsuntos!E23)/NºAsuntos!G23)-Datos!BG23)/Datos!BG23),(((NºAsuntos!C23+NºAsuntos!E23)/NºAsuntos!G23)-Datos!BG23)/Datos!BG23," - ")</f>
        <v>-1.9268503344420138E-2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3.2379248658318427E-2</v>
      </c>
      <c r="C31" s="1092">
        <f>IF(ISNUMBER(
   IF(J_V="SI",(Datos!J31-Datos!T31)/Datos!T31,(Datos!J31+Datos!Z31-(Datos!T31+Datos!AH31))/(Datos!T31+Datos!AH31))
     ),IF(J_V="SI",(Datos!J31-Datos!T31)/Datos!T31,(Datos!J31+Datos!Z31-(Datos!T31+Datos!AH31))/(Datos!T31+Datos!AH31))," - ")</f>
        <v>0.10227861211807354</v>
      </c>
      <c r="D31" s="1092">
        <f>IF(ISNUMBER(
   IF(J_V="SI",(Datos!K31-Datos!U31)/Datos!U31,(Datos!K31+Datos!AA31-(Datos!U31+Datos!AI31))/(Datos!U31+Datos!AI31))
     ),IF(J_V="SI",(Datos!K31-Datos!U31)/Datos!U31,(Datos!K31+Datos!AA31-(Datos!U31+Datos!AI31))/(Datos!U31+Datos!AI31))," - ")</f>
        <v>8.0044638328091708E-2</v>
      </c>
      <c r="E31" s="1092">
        <f>IF(ISNUMBER(
   IF(J_V="SI",(Datos!L31-Datos!V31)/Datos!V31,(Datos!L31+Datos!AB31-(Datos!V31+Datos!AJ31))/(Datos!V31+Datos!AJ31))
     ),IF(J_V="SI",(Datos!L31-Datos!V31)/Datos!V31,(Datos!L31+Datos!AB31-(Datos!V31+Datos!AJ31))/(Datos!V31+Datos!AJ31))," - ")</f>
        <v>0.38988043666608907</v>
      </c>
      <c r="F31" s="1093">
        <f>IF(ISNUMBER((Datos!M31-Datos!W31)/Datos!W31),(Datos!M31-Datos!W31)/Datos!W31," - ")</f>
        <v>1.7932489451476793E-2</v>
      </c>
      <c r="G31" s="1094">
        <f>IF(ISNUMBER((Datos!N31-Datos!X31)/Datos!X31),(Datos!N31-Datos!X31)/Datos!X31," - ")</f>
        <v>9.5567121320890167E-2</v>
      </c>
      <c r="H31" s="1095">
        <f>IF(ISNUMBER((Tasas!B31-Datos!BD31)/Datos!BD31),(Tasas!B31-Datos!BD31)/Datos!BD31," - ")</f>
        <v>-2.0170920079142476E-2</v>
      </c>
      <c r="I31" s="1096">
        <f>IF(ISNUMBER((Tasas!C31-Datos!BE31)/Datos!BE31),(Tasas!C31-Datos!BE31)/Datos!BE31," - ")</f>
        <v>0.28687314148202497</v>
      </c>
      <c r="J31" s="1097">
        <f>IF(ISNUMBER((Tasas!D31-Datos!BF31)/Datos!BF31),(Tasas!D31-Datos!BF31)/Datos!BF31," - ")</f>
        <v>-0.58157278052014094</v>
      </c>
      <c r="K31" s="1097">
        <f>IF(ISNUMBER((Tasas!E31-Datos!BG31)/Datos!BG31),(Tasas!E31-Datos!BG31)/Datos!BG31," - ")</f>
        <v>6.0568858186833838E-3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K0iulFGChTYP+8gefZcBkiSHORjOfD6BAE+DgdgkS9g7F65QwPhSV/him8nJg6BVUXsZRFW5qoYWvh5cS0u4w==" saltValue="HSTQ3mJDpvEtgq8BdINm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TORREJON DE ARDOZ</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0.98117563487835202</v>
      </c>
      <c r="C9" s="498">
        <f>IF(ISNUMBER(NºAsuntos!I9/NºAsuntos!G9),NºAsuntos!I9/NºAsuntos!G9," - ")</f>
        <v>0.59701357466063354</v>
      </c>
      <c r="D9" s="499">
        <f>IF(ISNUMBER('Resol  Asuntos'!D9/NºAsuntos!G9),'Resol  Asuntos'!D9/NºAsuntos!G9," - ")</f>
        <v>0.16524886877828054</v>
      </c>
      <c r="E9" s="500">
        <f>IF(ISNUMBER((NºAsuntos!C9+NºAsuntos!E9)/NºAsuntos!G9),(NºAsuntos!C9+NºAsuntos!E9)/NºAsuntos!G9," - ")</f>
        <v>1.4130316742081448</v>
      </c>
      <c r="G9" s="523"/>
    </row>
    <row r="10" spans="1:7">
      <c r="A10" s="450" t="str">
        <f>Datos!A10</f>
        <v>Jdos. Violencia contra la mujer</v>
      </c>
      <c r="B10" s="497">
        <f>IF(ISNUMBER(NºAsuntos!G10/NºAsuntos!E10),NºAsuntos!G10/NºAsuntos!E10," - ")</f>
        <v>0.9213483146067416</v>
      </c>
      <c r="C10" s="498">
        <f>IF(ISNUMBER(NºAsuntos!I10/NºAsuntos!G10),NºAsuntos!I10/NºAsuntos!G10," - ")</f>
        <v>0.76219512195121952</v>
      </c>
      <c r="D10" s="499">
        <f>IF(ISNUMBER('Resol  Asuntos'!D10/NºAsuntos!G10),'Resol  Asuntos'!D10/NºAsuntos!G10," - ")</f>
        <v>0.21951219512195122</v>
      </c>
      <c r="E10" s="500">
        <f>IF(ISNUMBER((NºAsuntos!C10+NºAsuntos!E10)/NºAsuntos!G10),(NºAsuntos!C10+NºAsuntos!E10)/NºAsuntos!G10," - ")</f>
        <v>1.7621951219512195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1.6666666666666667</v>
      </c>
      <c r="C12" s="498">
        <f>IF(ISNUMBER(NºAsuntos!I12/NºAsuntos!G12),NºAsuntos!I12/NºAsuntos!G12," - ")</f>
        <v>0</v>
      </c>
      <c r="D12" s="499">
        <f>IF(ISNUMBER('Resol  Asuntos'!D12/NºAsuntos!G12),'Resol  Asuntos'!D12/NºAsuntos!G12," - ")</f>
        <v>0</v>
      </c>
      <c r="E12" s="500">
        <f>IF(ISNUMBER((NºAsuntos!C12+NºAsuntos!E12)/NºAsuntos!G12),(NºAsuntos!C12+NºAsuntos!E12)/NºAsuntos!G12," - ")</f>
        <v>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0.98042471379882901</v>
      </c>
      <c r="C14" s="1156">
        <f>IF(ISNUMBER(NºAsuntos!I14/NºAsuntos!G14),NºAsuntos!I14/NºAsuntos!G14," - ")</f>
        <v>0.59916213566271503</v>
      </c>
      <c r="D14" s="1157">
        <f>IF(ISNUMBER('Resol  Asuntos'!D14/NºAsuntos!G14),'Resol  Asuntos'!D14/NºAsuntos!G14," - ")</f>
        <v>0.16596844638559585</v>
      </c>
      <c r="E14" s="1158">
        <f>IF(ISNUMBER((NºAsuntos!C14+NºAsuntos!E14)/NºAsuntos!G14),(NºAsuntos!C14+NºAsuntos!E14)/NºAsuntos!G14," - ")</f>
        <v>1.4179516890988502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1.02409200968523</v>
      </c>
      <c r="C16" s="498">
        <f>IF(ISNUMBER(NºAsuntos!I16/NºAsuntos!G16),NºAsuntos!I16/NºAsuntos!G16," - ")</f>
        <v>0.12341884383496868</v>
      </c>
      <c r="D16" s="499">
        <f>IF(ISNUMBER('Resol  Asuntos'!D16/NºAsuntos!G16),'Resol  Asuntos'!D16/NºAsuntos!G16," - ")</f>
        <v>0.11632580683295898</v>
      </c>
      <c r="E16" s="500">
        <f>IF(ISNUMBER((NºAsuntos!C16+NºAsuntos!E16)/NºAsuntos!G16),(NºAsuntos!C16+NºAsuntos!E16)/NºAsuntos!G16," - ")</f>
        <v>1.0990660834614021</v>
      </c>
      <c r="G16" s="523"/>
    </row>
    <row r="17" spans="1:7">
      <c r="A17" s="450" t="str">
        <f>Datos!A17</f>
        <v xml:space="preserve">Jdos. 1ª Instª. e Instr.                        </v>
      </c>
      <c r="B17" s="497" t="str">
        <f>IF(ISNUMBER(NºAsuntos!G17/NºAsuntos!E17),NºAsuntos!G17/NºAsuntos!E17," - ")</f>
        <v xml:space="preserve"> - </v>
      </c>
      <c r="C17" s="498">
        <f>IF(ISNUMBER(NºAsuntos!I17/NºAsuntos!G17),NºAsuntos!I17/NºAsuntos!G17," - ")</f>
        <v>4</v>
      </c>
      <c r="D17" s="499">
        <f>IF(ISNUMBER('Resol  Asuntos'!D17/NºAsuntos!G17),'Resol  Asuntos'!D17/NºAsuntos!G17," - ")</f>
        <v>0</v>
      </c>
      <c r="E17" s="500">
        <f>IF(ISNUMBER((NºAsuntos!C17+NºAsuntos!E17)/NºAsuntos!G17),(NºAsuntos!C17+NºAsuntos!E17)/NºAsuntos!G17," - ")</f>
        <v>5</v>
      </c>
      <c r="G17" s="523"/>
    </row>
    <row r="18" spans="1:7">
      <c r="A18" s="450" t="str">
        <f>Datos!A18</f>
        <v>Jdos. Violencia contra la mujer</v>
      </c>
      <c r="B18" s="497">
        <f>IF(ISNUMBER(NºAsuntos!G18/NºAsuntos!E18),NºAsuntos!G18/NºAsuntos!E18," - ")</f>
        <v>1.0189633375474083</v>
      </c>
      <c r="C18" s="498">
        <f>IF(ISNUMBER(NºAsuntos!I18/NºAsuntos!G18),NºAsuntos!I18/NºAsuntos!G18," - ")</f>
        <v>0.15322580645161291</v>
      </c>
      <c r="D18" s="499">
        <f>IF(ISNUMBER('Resol  Asuntos'!D18/NºAsuntos!G18),'Resol  Asuntos'!D18/NºAsuntos!G18," - ")</f>
        <v>3.0397022332506202E-2</v>
      </c>
      <c r="E18" s="500">
        <f>IF(ISNUMBER((NºAsuntos!C18+NºAsuntos!E18)/NºAsuntos!G18),(NºAsuntos!C18+NºAsuntos!E18)/NºAsuntos!G18," - ")</f>
        <v>1.1420595533498759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1.0234708392603129</v>
      </c>
      <c r="C23" s="1156">
        <f>IF(ISNUMBER(NºAsuntos!I23/NºAsuntos!G23),NºAsuntos!I23/NºAsuntos!G23," - ")</f>
        <v>0.12895860220391145</v>
      </c>
      <c r="D23" s="1159">
        <f>IF(ISNUMBER('Resol  Asuntos'!D23/NºAsuntos!G23),'Resol  Asuntos'!D23/NºAsuntos!G23," - ")</f>
        <v>0.10255137496277177</v>
      </c>
      <c r="E23" s="1158">
        <f>IF(ISNUMBER((NºAsuntos!C23+NºAsuntos!E23)/NºAsuntos!G23),(NºAsuntos!C23+NºAsuntos!E23)/NºAsuntos!G23," - ")</f>
        <v>1.1067209371587412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1.000328870096312</v>
      </c>
      <c r="C31" s="1099">
        <f>IF(ISNUMBER(NºAsuntos!I31/NºAsuntos!G31),NºAsuntos!I31/NºAsuntos!G31," - ")</f>
        <v>0.37671425887657334</v>
      </c>
      <c r="D31" s="1100">
        <f>IF(ISNUMBER('Resol  Asuntos'!D31/NºAsuntos!G31),'Resol  Asuntos'!D31/NºAsuntos!G31," - ")</f>
        <v>0.13596656021040768</v>
      </c>
      <c r="E31" s="1101">
        <f>IF(ISNUMBER((NºAsuntos!C31+NºAsuntos!E31)/NºAsuntos!G31),(NºAsuntos!C31+NºAsuntos!E31)/NºAsuntos!G31," - ")</f>
        <v>1.2707120045087357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2qLFeii9BqqqzTUUgYouORnIFoZ9ove/wTzSNvSw/+aQjxgNbnDHMOXMzf/k7A2P2TXU/7IUXB56J3KIDKew==" saltValue="hZHK3r8UZ3hijpPmGPpqT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TORREJON DE ARDOZ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777</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1120</v>
      </c>
      <c r="AX5" s="1641" t="s">
        <v>419</v>
      </c>
      <c r="AY5" s="1641" t="s">
        <v>1000</v>
      </c>
      <c r="AZ5" s="1641" t="s">
        <v>1001</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1814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1541</v>
      </c>
      <c r="Y9" s="374">
        <f>SUM(W9:X9)</f>
        <v>1541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6855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1826</v>
      </c>
      <c r="AJ9" s="243" t="str">
        <f>IF(ISNUMBER(Datos!BW9),Datos!BW9," - ")</f>
        <v xml:space="preserve"> - </v>
      </c>
      <c r="AK9" s="242" t="str">
        <f>IF(ISNUMBER(Datos!BX9),Datos!BX9," - ")</f>
        <v xml:space="preserve"> - </v>
      </c>
      <c r="AL9" s="266">
        <f>IF(ISNUMBER(NºAsuntos!G9/NºAsuntos!E9),NºAsuntos!G9/NºAsuntos!E9," - ")</f>
        <v>0.98117563487835202</v>
      </c>
      <c r="AM9" s="284">
        <f>IF(ISNUMBER(((NºAsuntos!I9/NºAsuntos!G9)*11)/factor_trimestre),((NºAsuntos!I9/NºAsuntos!G9)*11)/factor_trimestre," - ")</f>
        <v>6.5671493212669692</v>
      </c>
      <c r="AN9" s="267">
        <f>IF(ISNUMBER('Resol  Asuntos'!D9/NºAsuntos!G9),'Resol  Asuntos'!D9/NºAsuntos!G9," - ")</f>
        <v>0.16524886877828054</v>
      </c>
      <c r="AO9" s="268">
        <f>IF(ISNUMBER((NºAsuntos!C9+NºAsuntos!E9)/NºAsuntos!G9),(NºAsuntos!C9+NºAsuntos!E9)/NºAsuntos!G9," - ")</f>
        <v>1.4130316742081448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111</v>
      </c>
      <c r="G10" s="373">
        <f>IF(ISNUMBER(Datos!I10),Datos!I10," - ")</f>
        <v>111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164</v>
      </c>
      <c r="X10" s="240">
        <f>IF(ISNUMBER(Datos!Q10),Datos!Q10," - ")</f>
        <v>35</v>
      </c>
      <c r="Y10" s="374">
        <f t="shared" ref="Y10:Y13" si="0">SUM(W10:X10)</f>
        <v>199</v>
      </c>
      <c r="Z10" s="375" t="str">
        <f>IF(ISNUMBER(Datos!CC10),Datos!CC10," - ")</f>
        <v xml:space="preserve"> - </v>
      </c>
      <c r="AA10" s="372">
        <f>IF(ISNUMBER(Datos!L10),Datos!L10,"-")</f>
        <v>125</v>
      </c>
      <c r="AB10" s="374">
        <f>IF(ISNUMBER(Datos!R10),Datos!R10," - ")</f>
        <v>73</v>
      </c>
      <c r="AC10" s="374">
        <f t="shared" ref="AC10:AC13" si="1">IF(ISNUMBER(AA10+AB10),AA10+AB10," - ")</f>
        <v>198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36</v>
      </c>
      <c r="AJ10" s="245" t="str">
        <f>IF(ISNUMBER(Datos!BW10),Datos!BW10," - ")</f>
        <v xml:space="preserve"> - </v>
      </c>
      <c r="AK10" s="246" t="str">
        <f>IF(ISNUMBER(Datos!BX10),Datos!BX10," - ")</f>
        <v xml:space="preserve"> - </v>
      </c>
      <c r="AL10" s="266">
        <f>IF(ISNUMBER(NºAsuntos!G10/NºAsuntos!E10),NºAsuntos!G10/NºAsuntos!E10," - ")</f>
        <v>0.9213483146067416</v>
      </c>
      <c r="AM10" s="284">
        <f>IF(ISNUMBER(((NºAsuntos!I10/NºAsuntos!G10)*11)/factor_trimestre),((NºAsuntos!I10/NºAsuntos!G10)*11)/factor_trimestre," - ")</f>
        <v>8.3841463414634152</v>
      </c>
      <c r="AN10" s="267">
        <f>IF(ISNUMBER('Resol  Asuntos'!D10/NºAsuntos!G10),'Resol  Asuntos'!D10/NºAsuntos!G10," - ")</f>
        <v>0.21951219512195122</v>
      </c>
      <c r="AO10" s="268">
        <f>IF(ISNUMBER((NºAsuntos!C10+NºAsuntos!E10)/NºAsuntos!G10),(NºAsuntos!C10+NºAsuntos!E10)/NºAsuntos!G10," - ")</f>
        <v>1.7621951219512195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103</v>
      </c>
      <c r="Y12" s="374">
        <f t="shared" si="0"/>
        <v>103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1.6666666666666667</v>
      </c>
      <c r="AM12" s="284">
        <f>IF(ISNUMBER(((NºAsuntos!I12/NºAsuntos!G12)*11)/factor_trimestre),((NºAsuntos!I12/NºAsuntos!G12)*11)/factor_trimestre," - ")</f>
        <v>0</v>
      </c>
      <c r="AN12" s="267">
        <f>IF(ISNUMBER('Resol  Asuntos'!D12/NºAsuntos!G12),'Resol  Asuntos'!D12/NºAsuntos!G12," - ")</f>
        <v>0</v>
      </c>
      <c r="AO12" s="268">
        <f>IF(ISNUMBER((NºAsuntos!C12+NºAsuntos!E12)/NºAsuntos!G12),(NºAsuntos!C12+NºAsuntos!E12)/NºAsuntos!G12," - ")</f>
        <v>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111</v>
      </c>
      <c r="G14" s="1163">
        <f t="shared" si="5"/>
        <v>111</v>
      </c>
      <c r="H14" s="1162">
        <f t="shared" si="5"/>
        <v>0</v>
      </c>
      <c r="I14" s="1164">
        <f t="shared" si="5"/>
        <v>0</v>
      </c>
      <c r="J14" s="1164">
        <f t="shared" si="5"/>
        <v>0</v>
      </c>
      <c r="K14" s="1164">
        <f t="shared" si="5"/>
        <v>0</v>
      </c>
      <c r="L14" s="1164">
        <f t="shared" si="5"/>
        <v>1858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164</v>
      </c>
      <c r="X14" s="1164">
        <f t="shared" si="6"/>
        <v>1679</v>
      </c>
      <c r="Y14" s="1165">
        <f t="shared" si="6"/>
        <v>1843</v>
      </c>
      <c r="Z14" s="1165">
        <f t="shared" si="6"/>
        <v>0</v>
      </c>
      <c r="AA14" s="1165">
        <f t="shared" si="6"/>
        <v>125</v>
      </c>
      <c r="AB14" s="1165">
        <f t="shared" si="6"/>
        <v>7373</v>
      </c>
      <c r="AC14" s="1165">
        <f t="shared" si="6"/>
        <v>198</v>
      </c>
      <c r="AD14" s="1165">
        <f t="shared" si="6"/>
        <v>0</v>
      </c>
      <c r="AE14" s="1169">
        <f t="shared" si="6"/>
        <v>0</v>
      </c>
      <c r="AF14" s="1162">
        <f t="shared" si="6"/>
        <v>0</v>
      </c>
      <c r="AG14" s="1170">
        <f t="shared" si="6"/>
        <v>0</v>
      </c>
      <c r="AH14" s="1167">
        <f t="shared" si="6"/>
        <v>0</v>
      </c>
      <c r="AI14" s="1162">
        <f t="shared" si="6"/>
        <v>1862</v>
      </c>
      <c r="AJ14" s="1164">
        <f t="shared" si="6"/>
        <v>0</v>
      </c>
      <c r="AK14" s="1167">
        <f>SUBTOTAL(9,AK9:AK13)</f>
        <v>0</v>
      </c>
      <c r="AL14" s="1171">
        <f>IF(ISNUMBER(NºAsuntos!G14/NºAsuntos!E14),NºAsuntos!G14/NºAsuntos!E14," - ")</f>
        <v>0.98042471379882901</v>
      </c>
      <c r="AM14" s="1171">
        <f>IF(ISNUMBER(((NºAsuntos!I14/NºAsuntos!G14)*11)/factor_trimestre),((NºAsuntos!I14/NºAsuntos!G14)*11)/factor_trimestre," - ")</f>
        <v>6.5907834922898658</v>
      </c>
      <c r="AN14" s="1172">
        <f>IF(ISNUMBER('Resol  Asuntos'!D14/NºAsuntos!G14),'Resol  Asuntos'!D14/NºAsuntos!G14," - ")</f>
        <v>0.16596844638559585</v>
      </c>
      <c r="AO14" s="1173">
        <f>IF(ISNUMBER((NºAsuntos!C14+NºAsuntos!E14)/NºAsuntos!G14),(NºAsuntos!C14+NºAsuntos!E14)/NºAsuntos!G14," - ")</f>
        <v>1.4179516890988502</v>
      </c>
      <c r="AP14" s="1174" t="str">
        <f t="shared" si="2"/>
        <v xml:space="preserve"> - </v>
      </c>
      <c r="AQ14" s="1174">
        <f>IF(ISNUMBER((H14-W14+K14)/(F14)),(H14-W14+K14)/(F14)," - ")</f>
        <v>-1.4774774774774775</v>
      </c>
      <c r="AR14" s="1175">
        <f>IF(ISNUMBER((Datos!P14-Datos!Q14)/(Datos!R14-Datos!P14+Datos!Q14)),(Datos!P14-Datos!Q14)/(Datos!R14-Datos!P14+Datos!Q14)," - ")</f>
        <v>2.4881845982763415E-2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1243</v>
      </c>
      <c r="G16" s="373">
        <f>IF(ISNUMBER(IF(D_I="SI",Datos!I16,Datos!I16+Datos!AC16)),IF(D_I="SI",Datos!I16,Datos!I16+Datos!AC16)," - ")</f>
        <v>1037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338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8459</v>
      </c>
      <c r="X16" s="240">
        <f>IF(ISNUMBER(Datos!Q16),Datos!Q16," - ")</f>
        <v>235</v>
      </c>
      <c r="Y16" s="374">
        <f>SUM(W16)</f>
        <v>8459</v>
      </c>
      <c r="Z16" s="375" t="str">
        <f>IF(ISNUMBER(Datos!CC16),Datos!CC16," - ")</f>
        <v xml:space="preserve"> - </v>
      </c>
      <c r="AA16" s="372">
        <f>IF(ISNUMBER(IF(D_I="SI",Datos!L16,Datos!L16+Datos!AF16)),IF(D_I="SI",Datos!L16,Datos!L16+Datos!AF16)," - ")</f>
        <v>1044</v>
      </c>
      <c r="AB16" s="374">
        <f>IF(ISNUMBER(Datos!R16),Datos!R16," - ")</f>
        <v>381</v>
      </c>
      <c r="AC16" s="374">
        <f t="shared" ref="AC16:AC22" si="8">IF(ISNUMBER(AA16+AB16),AA16+AB16," - ")</f>
        <v>1425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984</v>
      </c>
      <c r="AJ16" s="245" t="str">
        <f>IF(ISNUMBER(Datos!BW16),Datos!BW16," - ")</f>
        <v xml:space="preserve"> - </v>
      </c>
      <c r="AK16" s="246" t="str">
        <f>IF(ISNUMBER(Datos!BX16),Datos!BX16," - ")</f>
        <v xml:space="preserve"> - </v>
      </c>
      <c r="AL16" s="266">
        <f>IF(ISNUMBER(NºAsuntos!G16/NºAsuntos!E16),NºAsuntos!G16/NºAsuntos!E16," - ")</f>
        <v>1.02409200968523</v>
      </c>
      <c r="AM16" s="284">
        <f>IF(ISNUMBER(((NºAsuntos!I16/NºAsuntos!G16)*11)/factor_trimestre),((NºAsuntos!I16/NºAsuntos!G16)*11)/factor_trimestre," - ")</f>
        <v>1.3576072821846554</v>
      </c>
      <c r="AN16" s="267">
        <f>IF(ISNUMBER('Resol  Asuntos'!D16/NºAsuntos!G16),'Resol  Asuntos'!D16/NºAsuntos!G16," - ")</f>
        <v>0.11632580683295898</v>
      </c>
      <c r="AO16" s="268">
        <f>IF(ISNUMBER((NºAsuntos!C16+NºAsuntos!E16)/NºAsuntos!G16),(NºAsuntos!C16+NºAsuntos!E16)/NºAsuntos!G16," - ")</f>
        <v>1.0990660834614021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10</v>
      </c>
      <c r="G17" s="373">
        <f>IF(ISNUMBER(IF(D_I="SI",Datos!I17,Datos!I17+Datos!AC17)),IF(D_I="SI",Datos!I17,Datos!I17+Datos!AC17)," - ")</f>
        <v>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v>
      </c>
      <c r="X17" s="240">
        <f>IF(ISNUMBER(Datos!Q17),Datos!Q17," - ")</f>
        <v>0</v>
      </c>
      <c r="Y17" s="374">
        <f t="shared" ref="Y17:Y22" si="9">SUM(W17:X17)</f>
        <v>2</v>
      </c>
      <c r="Z17" s="375" t="str">
        <f>IF(ISNUMBER(Datos!CC17),Datos!CC17," - ")</f>
        <v xml:space="preserve"> - </v>
      </c>
      <c r="AA17" s="372">
        <f>IF(ISNUMBER(IF(D_I="SI",Datos!L17,Datos!L17+Datos!AF17)),IF(D_I="SI",Datos!L17,Datos!L17+Datos!AF17)," - ")</f>
        <v>8</v>
      </c>
      <c r="AB17" s="374">
        <f>IF(ISNUMBER(Datos!R17),Datos!R17," - ")</f>
        <v>0</v>
      </c>
      <c r="AC17" s="374">
        <f t="shared" si="8"/>
        <v>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f>IF(ISNUMBER(((NºAsuntos!I17/NºAsuntos!G17)*11)/factor_trimestre),((NºAsuntos!I17/NºAsuntos!G17)*11)/factor_trimestre," - ")</f>
        <v>44</v>
      </c>
      <c r="AN17" s="267">
        <f>IF(ISNUMBER('Resol  Asuntos'!D17/NºAsuntos!G17),'Resol  Asuntos'!D17/NºAsuntos!G17," - ")</f>
        <v>0</v>
      </c>
      <c r="AO17" s="268">
        <f>IF(ISNUMBER((NºAsuntos!C17+NºAsuntos!E17)/NºAsuntos!G17),(NºAsuntos!C17+NºAsuntos!E17)/NºAsuntos!G17," - ")</f>
        <v>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1612</v>
      </c>
      <c r="X18" s="240">
        <f>IF(ISNUMBER(Datos!Q18),Datos!Q18," - ")</f>
        <v>10</v>
      </c>
      <c r="Y18" s="374">
        <f t="shared" si="9"/>
        <v>1622</v>
      </c>
      <c r="Z18" s="375" t="str">
        <f>IF(ISNUMBER(Datos!CC18),Datos!CC18," - ")</f>
        <v xml:space="preserve"> - </v>
      </c>
      <c r="AA18" s="372">
        <f>IF(ISNUMBER(Datos!L18),Datos!L18,"-")</f>
        <v>247</v>
      </c>
      <c r="AB18" s="374">
        <f>IF(ISNUMBER(Datos!R18),Datos!R18," - ")</f>
        <v>6</v>
      </c>
      <c r="AC18" s="374">
        <f t="shared" si="8"/>
        <v>253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49</v>
      </c>
      <c r="AJ18" s="245" t="str">
        <f>IF(ISNUMBER(Datos!BW18),Datos!BW18," - ")</f>
        <v xml:space="preserve"> - </v>
      </c>
      <c r="AK18" s="246" t="str">
        <f>IF(ISNUMBER(Datos!BX18),Datos!BX18," - ")</f>
        <v xml:space="preserve"> - </v>
      </c>
      <c r="AL18" s="266">
        <f>IF(ISNUMBER(NºAsuntos!G18/NºAsuntos!E18),NºAsuntos!G18/NºAsuntos!E18," - ")</f>
        <v>1.0189633375474083</v>
      </c>
      <c r="AM18" s="284">
        <f>IF(ISNUMBER(((NºAsuntos!I18/NºAsuntos!G18)*11)/factor_trimestre),((NºAsuntos!I18/NºAsuntos!G18)*11)/factor_trimestre," - ")</f>
        <v>1.685483870967742</v>
      </c>
      <c r="AN18" s="267">
        <f>IF(ISNUMBER('Resol  Asuntos'!D18/NºAsuntos!G18),'Resol  Asuntos'!D18/NºAsuntos!G18," - ")</f>
        <v>3.0397022332506202E-2</v>
      </c>
      <c r="AO18" s="268">
        <f>IF(ISNUMBER((NºAsuntos!C18+NºAsuntos!E18)/NºAsuntos!G18),(NºAsuntos!C18+NºAsuntos!E18)/NºAsuntos!G18," - ")</f>
        <v>1.1420595533498759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1253</v>
      </c>
      <c r="G23" s="1163">
        <f>SUBTOTAL(9,G16:G22)</f>
        <v>1306</v>
      </c>
      <c r="H23" s="1162">
        <f t="shared" ref="H23:O23" si="13">SUBTOTAL(9,H15:H22)</f>
        <v>0</v>
      </c>
      <c r="I23" s="1164">
        <f t="shared" si="13"/>
        <v>0</v>
      </c>
      <c r="J23" s="1164">
        <f t="shared" si="13"/>
        <v>0</v>
      </c>
      <c r="K23" s="1164">
        <f t="shared" si="13"/>
        <v>0</v>
      </c>
      <c r="L23" s="1164">
        <f t="shared" si="13"/>
        <v>345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10073</v>
      </c>
      <c r="X23" s="1164">
        <f t="shared" si="14"/>
        <v>245</v>
      </c>
      <c r="Y23" s="1165">
        <f t="shared" si="14"/>
        <v>10083</v>
      </c>
      <c r="Z23" s="1165">
        <f t="shared" si="14"/>
        <v>0</v>
      </c>
      <c r="AA23" s="1165">
        <f t="shared" si="14"/>
        <v>1299</v>
      </c>
      <c r="AB23" s="1165">
        <f t="shared" si="14"/>
        <v>387</v>
      </c>
      <c r="AC23" s="1165">
        <f t="shared" si="14"/>
        <v>1686</v>
      </c>
      <c r="AD23" s="1165">
        <f t="shared" si="14"/>
        <v>0</v>
      </c>
      <c r="AE23" s="1169">
        <f t="shared" si="14"/>
        <v>0</v>
      </c>
      <c r="AF23" s="1162">
        <f t="shared" si="14"/>
        <v>0</v>
      </c>
      <c r="AG23" s="1170">
        <f t="shared" si="14"/>
        <v>0</v>
      </c>
      <c r="AH23" s="1167">
        <f t="shared" si="14"/>
        <v>0</v>
      </c>
      <c r="AI23" s="1162">
        <f t="shared" si="14"/>
        <v>1033</v>
      </c>
      <c r="AJ23" s="1164">
        <f t="shared" si="14"/>
        <v>0</v>
      </c>
      <c r="AK23" s="1167">
        <f t="shared" si="14"/>
        <v>0</v>
      </c>
      <c r="AL23" s="1171">
        <f>IF(ISNUMBER(NºAsuntos!G23/NºAsuntos!E23),NºAsuntos!G23/NºAsuntos!E23," - ")</f>
        <v>1.0234708392603129</v>
      </c>
      <c r="AM23" s="1171">
        <f>IF(ISNUMBER(((NºAsuntos!I23/NºAsuntos!G23)*11)/factor_trimestre),((NºAsuntos!I23/NºAsuntos!G23)*11)/factor_trimestre," - ")</f>
        <v>1.418544624243026</v>
      </c>
      <c r="AN23" s="1172">
        <f>IF(ISNUMBER('Resol  Asuntos'!D23/NºAsuntos!G23),'Resol  Asuntos'!D23/NºAsuntos!G23," - ")</f>
        <v>0.10255137496277177</v>
      </c>
      <c r="AO23" s="1173">
        <f>IF(ISNUMBER((NºAsuntos!C23+NºAsuntos!E23)/NºAsuntos!G23),(NºAsuntos!C23+NºAsuntos!E23)/NºAsuntos!G23," - ")</f>
        <v>1.1067209371587412</v>
      </c>
      <c r="AP23" s="1174" t="str">
        <f t="shared" si="2"/>
        <v xml:space="preserve"> - </v>
      </c>
      <c r="AQ23" s="1174">
        <f>IF(ISNUMBER((H23-W23+K23)/(F23)),(H23-W23+K23)/(F23)," - ")</f>
        <v>-8.039106145251397</v>
      </c>
      <c r="AR23" s="1175">
        <f>IF(ISNUMBER((Datos!P23-Datos!Q23)/(Datos!R23-Datos!P23+Datos!Q23)),(Datos!P23-Datos!Q23)/(Datos!R23-Datos!P23+Datos!Q23)," - ")</f>
        <v>0.34843205574912894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1364</v>
      </c>
      <c r="G31" s="1118">
        <f t="shared" si="20"/>
        <v>1417</v>
      </c>
      <c r="H31" s="1117">
        <f t="shared" si="20"/>
        <v>0</v>
      </c>
      <c r="I31" s="1119">
        <f t="shared" si="20"/>
        <v>0</v>
      </c>
      <c r="J31" s="1119">
        <f t="shared" si="20"/>
        <v>0</v>
      </c>
      <c r="K31" s="1180">
        <f t="shared" si="20"/>
        <v>0</v>
      </c>
      <c r="L31" s="1119">
        <f t="shared" si="20"/>
        <v>2203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10237</v>
      </c>
      <c r="X31" s="1118">
        <f t="shared" si="21"/>
        <v>1924</v>
      </c>
      <c r="Y31" s="1125">
        <f t="shared" si="21"/>
        <v>11926</v>
      </c>
      <c r="Z31" s="1125">
        <f t="shared" si="21"/>
        <v>0</v>
      </c>
      <c r="AA31" s="1125">
        <f t="shared" si="21"/>
        <v>1424</v>
      </c>
      <c r="AB31" s="1125">
        <f t="shared" si="21"/>
        <v>7760</v>
      </c>
      <c r="AC31" s="1125">
        <f t="shared" si="21"/>
        <v>1884</v>
      </c>
      <c r="AD31" s="1125">
        <f t="shared" si="21"/>
        <v>0</v>
      </c>
      <c r="AE31" s="1127">
        <f t="shared" si="21"/>
        <v>0</v>
      </c>
      <c r="AF31" s="1128">
        <f t="shared" si="21"/>
        <v>0</v>
      </c>
      <c r="AG31" s="1129">
        <f t="shared" si="21"/>
        <v>0</v>
      </c>
      <c r="AH31" s="1127">
        <f t="shared" si="21"/>
        <v>0</v>
      </c>
      <c r="AI31" s="1117">
        <f t="shared" si="21"/>
        <v>2895</v>
      </c>
      <c r="AJ31" s="1117">
        <f t="shared" si="21"/>
        <v>0</v>
      </c>
      <c r="AK31" s="1127">
        <f t="shared" si="21"/>
        <v>0</v>
      </c>
      <c r="AL31" s="1183">
        <f>IF(ISNUMBER(NºAsuntos!G31/NºAsuntos!E31),NºAsuntos!G31/NºAsuntos!E31," - ")</f>
        <v>1.000328870096312</v>
      </c>
      <c r="AM31" s="1184">
        <f>IF(ISNUMBER(((NºAsuntos!I31/NºAsuntos!G31)*11)/factor_trimestre),((NºAsuntos!I31/NºAsuntos!G31)*11)/factor_trimestre," - ")</f>
        <v>4.143856847642307</v>
      </c>
      <c r="AN31" s="1184">
        <f>IF(ISNUMBER('Resol  Asuntos'!D31/NºAsuntos!G31),'Resol  Asuntos'!D31/NºAsuntos!G31," - ")</f>
        <v>0.13596656021040768</v>
      </c>
      <c r="AO31" s="1185">
        <f>IF(ISNUMBER((NºAsuntos!C31+NºAsuntos!E31)/NºAsuntos!G31),(NºAsuntos!C31+NºAsuntos!E31)/NºAsuntos!G31," - ")</f>
        <v>1.2707120045087357</v>
      </c>
      <c r="AP31" s="1186" t="str">
        <f t="shared" si="2"/>
        <v xml:space="preserve"> - </v>
      </c>
      <c r="AQ31" s="1187">
        <f>IF(OR(ISNUMBER(FIND("01",Criterios!A8,1)),ISNUMBER(FIND("02",Criterios!A8,1)),ISNUMBER(FIND("03",Criterios!A8,1)),ISNUMBER(FIND("04",Criterios!A8,1))),(I31-W31+K31)/(F31-K31),(H31-W31+K31)/(F31-K31))</f>
        <v>-7.5051319648093839</v>
      </c>
      <c r="AR31" s="1188">
        <f>IF(ISNUMBER((Datos!P31-Datos!Q31)/(Datos!R31-Datos!P31+Datos!Q31)),(Datos!P31-Datos!Q31)/(Datos!R31-Datos!P31+Datos!Q31)," - ")</f>
        <v>3.7294479347680792E-2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354.25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2.3295709014312749</v>
      </c>
      <c r="F33" s="276">
        <f>IF(ISNUMBER(STDEV(F8:F30)),STDEV(F8:F30),"-")</f>
        <v>588.31106122688595</v>
      </c>
      <c r="G33" s="277">
        <f>IF(ISNUMBER(STDEV(G8:G30)),STDEV(G8:G30),"-")</f>
        <v>516.70432274450457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4196.4996553250021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780.87927648545292</v>
      </c>
      <c r="AJ33" s="276">
        <f t="shared" si="25"/>
        <v>0</v>
      </c>
      <c r="AK33" s="278">
        <f t="shared" si="25"/>
        <v>0</v>
      </c>
      <c r="AL33" s="273">
        <f t="shared" si="25"/>
        <v>0.25775507891985328</v>
      </c>
      <c r="AM33" s="274">
        <f t="shared" si="25"/>
        <v>14.574885426384611</v>
      </c>
      <c r="AN33" s="274">
        <f t="shared" si="25"/>
        <v>8.2816519711301412E-2</v>
      </c>
      <c r="AO33" s="275">
        <f t="shared" si="25"/>
        <v>1.3392765745499191</v>
      </c>
      <c r="AP33" s="317" t="str">
        <f t="shared" si="25"/>
        <v>-</v>
      </c>
      <c r="AQ33" s="318">
        <f t="shared" si="25"/>
        <v>4.6397721266109899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2Cxpo4BK4H5XjQ5rCmVjsgH1HIC9lE9mR5ijYAiWFUa/TgQgvYCuXAUIeEcS28WOHLEYp6UV3dRzaXA69Fk3rg==" saltValue="gHoWBu18dCm0JKciIMwB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TORREJON DE ARDOZ</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1.8973214285714284E-2</v>
      </c>
      <c r="I9" s="395">
        <f>IF(ISNUMBER((Tasas!C9-Datos!BE9)/Datos!BE9),(Tasas!C9-Datos!BE9)/Datos!BE9," - ")</f>
        <v>0.34163436585041268</v>
      </c>
      <c r="J9" s="394">
        <f>IF(ISNUMBER((Tasas!D9-Datos!BF9)/Datos!BF9),(Tasas!D9-Datos!BF9)/Datos!BF9," - ")</f>
        <v>-0.69774940403000119</v>
      </c>
      <c r="K9" s="396">
        <f>IF(ISNUMBER((Tasas!E9-Datos!BG9)/Datos!BG9),(Tasas!E9-Datos!BG9)/Datos!BG9," - ")</f>
        <v>1.6360209881272049E-2</v>
      </c>
      <c r="M9" t="e">
        <f>IF(Monitorios="SI",Datos!CE9,0)</f>
        <v>#REF!</v>
      </c>
      <c r="N9" t="e">
        <f>IF(Monitorios="SI",Datos!CF9,0)</f>
        <v>#REF!</v>
      </c>
      <c r="O9" t="e">
        <f>IF(Monitorios="SI",Datos!CG9,0)</f>
        <v>#REF!</v>
      </c>
      <c r="P9" t="e">
        <f>IF(Monitorios="SI",Datos!CH9,0)</f>
        <v>#REF!</v>
      </c>
      <c r="Q9">
        <f>IF(J_V="SI",0,Datos!AG9)</f>
        <v>143</v>
      </c>
      <c r="R9">
        <f>IF(J_V="SI",0,Datos!AH9)</f>
        <v>846</v>
      </c>
      <c r="S9">
        <f>IF(J_V="SI",0,Datos!AI9)</f>
        <v>832</v>
      </c>
      <c r="T9">
        <f>IF(J_V="SI",0,Datos!AJ9)</f>
        <v>161</v>
      </c>
    </row>
    <row r="10" spans="2:20" ht="14.25">
      <c r="B10" s="300" t="s">
        <v>321</v>
      </c>
      <c r="C10" s="7" t="str">
        <f>Datos!A10</f>
        <v>Jdos. Violencia contra la mujer</v>
      </c>
      <c r="D10" s="397">
        <f>IF(ISNUMBER((Datos!I10-Datos!S10)/Datos!S10),(Datos!I10-Datos!S10)/Datos!S10," - ")</f>
        <v>7.7669902912621352E-2</v>
      </c>
      <c r="E10" s="393">
        <f>IF(ISNUMBER((Datos!J10-Datos!T10)/Datos!T10),(Datos!J10-Datos!T10)/Datos!T10," - ")</f>
        <v>0.10559006211180125</v>
      </c>
      <c r="F10" s="393">
        <f>IF(ISNUMBER((Datos!K10-Datos!U10)/Datos!U10),(Datos!K10-Datos!U10)/Datos!U10," - ")</f>
        <v>7.1895424836601302E-2</v>
      </c>
      <c r="G10" s="394">
        <f>IF(ISNUMBER((Datos!L10-Datos!V10)/Datos!V10),(Datos!L10-Datos!V10)/Datos!V10," - ")</f>
        <v>0.12612612612612611</v>
      </c>
      <c r="H10" s="244">
        <f>IF(ISNUMBER((Datos!M10-Datos!W10)/Datos!W10),(Datos!M10-Datos!W10)/Datos!W10," - ")</f>
        <v>-0.25</v>
      </c>
      <c r="I10" s="395">
        <f>IF(ISNUMBER((Tasas!C10-Datos!BE10)/Datos!BE10),(Tasas!C10-Datos!BE10)/Datos!BE10," - ")</f>
        <v>5.0593276203032347E-2</v>
      </c>
      <c r="J10" s="394">
        <f>IF(ISNUMBER((Tasas!D10-Datos!BF10)/Datos!BF10),(Tasas!D10-Datos!BF10)/Datos!BF10," - ")</f>
        <v>-0.30030487804878048</v>
      </c>
      <c r="K10" s="396">
        <f>IF(ISNUMBER((Tasas!E10-Datos!BG10)/Datos!BG10),(Tasas!E10-Datos!BG10)/Datos!BG10," - ")</f>
        <v>2.1272172949002171E-2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-1</v>
      </c>
      <c r="J12" s="394">
        <f>IF(ISNUMBER((Tasas!D12-Datos!BF12)/Datos!BF12),(Tasas!D12-Datos!BF12)/Datos!BF12," - ")</f>
        <v>-1</v>
      </c>
      <c r="K12" s="396">
        <f>IF(ISNUMBER((Tasas!E12-Datos!BG12)/Datos!BG12),(Tasas!E12-Datos!BG12)/Datos!BG12," - ")</f>
        <v>-0.33333333333333331</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1.1956521739130435E-2</v>
      </c>
      <c r="I14" s="402">
        <f>IF(ISNUMBER((Tasas!C14-Datos!BE14)/Datos!BE14),(Tasas!C14-Datos!BE14)/Datos!BE14," - ")</f>
        <v>0.33345445511319133</v>
      </c>
      <c r="J14" s="400">
        <f>IF(ISNUMBER((Tasas!D14-Datos!BF14)/Datos!BF14),(Tasas!D14-Datos!BF14)/Datos!BF14," - ")</f>
        <v>-0.69470039767981007</v>
      </c>
      <c r="K14" s="403">
        <f>IF(ISNUMBER((Tasas!E14-Datos!BG14)/Datos!BG14),(Tasas!E14-Datos!BG14)/Datos!BG14," - ")</f>
        <v>1.6094752619548122E-2</v>
      </c>
      <c r="M14" t="e">
        <f>IF(Monitorios="SI",Datos!CE14,0)</f>
        <v>#REF!</v>
      </c>
      <c r="N14" t="e">
        <f>IF(Monitorios="SI",Datos!CF14,0)</f>
        <v>#REF!</v>
      </c>
      <c r="O14" t="e">
        <f>IF(Monitorios="SI",Datos!CG14,0)</f>
        <v>#REF!</v>
      </c>
      <c r="P14" t="e">
        <f>IF(Monitorios="SI",Datos!CH14,0)</f>
        <v>#REF!</v>
      </c>
      <c r="Q14">
        <f>IF(J_V="SI",0,Datos!AG14)</f>
        <v>143</v>
      </c>
      <c r="R14">
        <f>IF(J_V="SI",0,Datos!AH14)</f>
        <v>846</v>
      </c>
      <c r="S14">
        <f>IF(J_V="SI",0,Datos!AI14)</f>
        <v>832</v>
      </c>
      <c r="T14">
        <f>IF(J_V="SI",0,Datos!AJ14)</f>
        <v>161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1.966568338249754E-2</v>
      </c>
      <c r="E16" s="393">
        <f>IF(ISNUMBER(
   IF(D_I="SI",(Datos!J16-Datos!T16)/Datos!T16,(Datos!J16+Datos!AD16-(Datos!T16+Datos!AL16))/(Datos!T16+Datos!AL16))
     ),IF(D_I="SI",(Datos!J16-Datos!T16)/Datos!T16,(Datos!J16+Datos!AD16-(Datos!T16+Datos!AL16))/(Datos!T16+Datos!AL16))," - ")</f>
        <v>3.2758189547386844E-2</v>
      </c>
      <c r="F16" s="393">
        <f>IF(ISNUMBER(
   IF(D_I="SI",(Datos!K16-Datos!U16)/Datos!U16,(Datos!K16+Datos!AE16-(Datos!U16+Datos!AM16))/(Datos!U16+Datos!AM16))
     ),IF(D_I="SI",(Datos!K16-Datos!U16)/Datos!U16,(Datos!K16+Datos!AE16-(Datos!U16+Datos!AM16))/(Datos!U16+Datos!AM16))," - ")</f>
        <v>3.6007348438456828E-2</v>
      </c>
      <c r="G16" s="394">
        <f>IF(ISNUMBER(
   IF(D_I="SI",(Datos!L16-Datos!V16)/Datos!V16,(Datos!L16+Datos!AF16-(Datos!V16+Datos!AN16))/(Datos!V16+Datos!AN16))
     ),IF(D_I="SI",(Datos!L16-Datos!V16)/Datos!V16,(Datos!L16+Datos!AF16-(Datos!V16+Datos!AN16))/(Datos!V16+Datos!AN16))," - ")</f>
        <v>6.7502410800385727E-3</v>
      </c>
      <c r="H16" s="244">
        <f>IF(ISNUMBER((Datos!M16-Datos!W16)/Datos!W16),(Datos!M16-Datos!W16)/Datos!W16," - ")</f>
        <v>2.0746887966804978E-2</v>
      </c>
      <c r="I16" s="395">
        <f>IF(ISNUMBER((Tasas!C16-Datos!BE16)/Datos!BE16),(Tasas!C16-Datos!BE16)/Datos!BE16," - ")</f>
        <v>-2.8240250807599458E-2</v>
      </c>
      <c r="J16" s="394">
        <f>IF(ISNUMBER((Tasas!D16-Datos!BF16)/Datos!BF16),(Tasas!D16-Datos!BF16)/Datos!BF16," - ")</f>
        <v>-1.4730069718765509E-2</v>
      </c>
      <c r="K16" s="396">
        <f>IF(ISNUMBER((Tasas!E16-Datos!BG16)/Datos!BG16),(Tasas!E16-Datos!BG16)/Datos!BG16," - ")</f>
        <v>-4.5618889115532565E-3</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-0.16666666666666666</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0</v>
      </c>
      <c r="G17" s="394">
        <f>IF(ISNUMBER(
   IF(D_I="SI",(Datos!L17-Datos!V17)/Datos!V17,(Datos!L17+Datos!AF17-(Datos!V17+Datos!AN17))/(Datos!V17+Datos!AN17))
     ),IF(D_I="SI",(Datos!L17-Datos!V17)/Datos!V17,(Datos!L17+Datos!AF17-(Datos!V17+Datos!AN17))/(Datos!V17+Datos!AN17))," - ")</f>
        <v>-0.2</v>
      </c>
      <c r="H17" s="244" t="str">
        <f>IF(ISNUMBER((Datos!M17-Datos!W17)/Datos!W17),(Datos!M17-Datos!W17)/Datos!W17," - ")</f>
        <v xml:space="preserve"> - </v>
      </c>
      <c r="I17" s="395">
        <f>IF(ISNUMBER((Tasas!C17-Datos!BE17)/Datos!BE17),(Tasas!C17-Datos!BE17)/Datos!BE17," - ")</f>
        <v>-0.2</v>
      </c>
      <c r="J17" s="394" t="str">
        <f>IF(ISNUMBER((Tasas!D17-Datos!BF17)/Datos!BF17),(Tasas!D17-Datos!BF17)/Datos!BF17," - ")</f>
        <v xml:space="preserve"> - </v>
      </c>
      <c r="K17" s="396">
        <f>IF(ISNUMBER((Tasas!E17-Datos!BG17)/Datos!BG17),(Tasas!E17-Datos!BG17)/Datos!BG17," - ")</f>
        <v>-0.16666666666666666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0.2102803738317757</v>
      </c>
      <c r="E18" s="393">
        <f>IF(ISNUMBER(
   IF(D_I="SI",(Datos!J18-Datos!T18)/Datos!T18,(Datos!J18+Datos!AD18-(Datos!T18+Datos!AL18))/(Datos!T18+Datos!AL18))
     ),IF(D_I="SI",(Datos!J18-Datos!T18)/Datos!T18,(Datos!J18+Datos!AD18-(Datos!T18+Datos!AL18))/(Datos!T18+Datos!AL18))," - ")</f>
        <v>-0.1171875</v>
      </c>
      <c r="F18" s="393">
        <f>IF(ISNUMBER(
   IF(D_I="SI",(Datos!K18-Datos!U18)/Datos!U18,(Datos!K18+Datos!AE18-(Datos!U18+Datos!AM18))/(Datos!U18+Datos!AM18))
     ),IF(D_I="SI",(Datos!K18-Datos!U18)/Datos!U18,(Datos!K18+Datos!AE18-(Datos!U18+Datos!AM18))/(Datos!U18+Datos!AM18))," - ")</f>
        <v>1.2422360248447205E-3</v>
      </c>
      <c r="G18" s="394">
        <f>IF(ISNUMBER(
   IF(D_I="SI",(Datos!L18-Datos!V18)/Datos!V18,(Datos!L18+Datos!AF18-(Datos!V18+Datos!AN18))/(Datos!V18+Datos!AN18))
     ),IF(D_I="SI",(Datos!L18-Datos!V18)/Datos!V18,(Datos!L18+Datos!AF18-(Datos!V18+Datos!AN18))/(Datos!V18+Datos!AN18))," - ")</f>
        <v>-4.633204633204633E-2</v>
      </c>
      <c r="H18" s="244">
        <f>IF(ISNUMBER((Datos!M18-Datos!W18)/Datos!W18),(Datos!M18-Datos!W18)/Datos!W18," - ")</f>
        <v>0.22500000000000001</v>
      </c>
      <c r="I18" s="395">
        <f>IF(ISNUMBER((Tasas!C18-Datos!BE18)/Datos!BE18),(Tasas!C18-Datos!BE18)/Datos!BE18," - ")</f>
        <v>-4.7515257192676456E-2</v>
      </c>
      <c r="J18" s="394">
        <f>IF(ISNUMBER((Tasas!D18-Datos!BF18)/Datos!BF18),(Tasas!D18-Datos!BF18)/Datos!BF18," - ")</f>
        <v>0.22348014888337472</v>
      </c>
      <c r="K18" s="396">
        <f>IF(ISNUMBER((Tasas!E18-Datos!BG18)/Datos!BG18),(Tasas!E18-Datos!BG18)/Datos!BG18," - ")</f>
        <v>-8.3391883901644981E-2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5.0683829444891394E-2</v>
      </c>
      <c r="E23" s="399">
        <f>IF(ISNUMBER(
   IF(D_I="SI",(Datos!J23-Datos!T23)/Datos!T23,(Datos!J23+Datos!AD23-(Datos!T23+Datos!AL23))/(Datos!T23+Datos!AL23))
     ),IF(D_I="SI",(Datos!J23-Datos!T23)/Datos!T23,(Datos!J23+Datos!AD23-(Datos!T23+Datos!AL23))/(Datos!T23+Datos!AL23))," - ")</f>
        <v>5.3115423901940757E-3</v>
      </c>
      <c r="F23" s="399">
        <f>IF(ISNUMBER(
   IF(D_I="SI",(Datos!K23-Datos!U23)/Datos!U23,(Datos!K23+Datos!AE23-(Datos!U23+Datos!AM23))/(Datos!U23+Datos!AM23))
     ),IF(D_I="SI",(Datos!K23-Datos!U23)/Datos!U23,(Datos!K23+Datos!AE23-(Datos!U23+Datos!AM23))/(Datos!U23+Datos!AM23))," - ")</f>
        <v>3.0275135522143806E-2</v>
      </c>
      <c r="G23" s="400">
        <f>IF(ISNUMBER(
   IF(D_I="SI",(Datos!L23-Datos!V23)/Datos!V23,(Datos!L23+Datos!AF23-(Datos!V23+Datos!AN23))/(Datos!V23+Datos!AN23))
     ),IF(D_I="SI",(Datos!L23-Datos!V23)/Datos!V23,(Datos!L23+Datos!AF23-(Datos!V23+Datos!AN23))/(Datos!V23+Datos!AN23))," - ")</f>
        <v>-5.3598774885145481E-3</v>
      </c>
      <c r="H23" s="401">
        <f>IF(ISNUMBER((Datos!M23-Datos!W23)/Datos!W23),(Datos!M23-Datos!W23)/Datos!W23," - ")</f>
        <v>2.8884462151394421E-2</v>
      </c>
      <c r="I23" s="402">
        <f>IF(ISNUMBER((Tasas!C23-Datos!BE23)/Datos!BE23),(Tasas!C23-Datos!BE23)/Datos!BE23," - ")</f>
        <v>-3.4587860836414852E-2</v>
      </c>
      <c r="J23" s="400">
        <f>IF(ISNUMBER((Tasas!D23-Datos!BF23)/Datos!BF23),(Tasas!D23-Datos!BF23)/Datos!BF23," - ")</f>
        <v>-1.3498077579486656E-3</v>
      </c>
      <c r="K23" s="403">
        <f>IF(ISNUMBER((Tasas!E23-Datos!BG23)/Datos!BG23),(Tasas!E23-Datos!BG23)/Datos!BG23," - ")</f>
        <v>-1.9268503344420138E-2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3.2379248658318427E-2</v>
      </c>
      <c r="E31" s="409">
        <f>IF(ISNUMBER(
   IF(J_V="SI",(Datos!J31-Datos!T31)/Datos!T31,(Datos!J31+Datos!Z31-(Datos!T31+Datos!AH31))/(Datos!T31+Datos!AH31))
     ),IF(J_V="SI",(Datos!J31-Datos!T31)/Datos!T31,(Datos!J31+Datos!Z31-(Datos!T31+Datos!AH31))/(Datos!T31+Datos!AH31))," - ")</f>
        <v>0.10227861211807354</v>
      </c>
      <c r="F31" s="409">
        <f>IF(ISNUMBER(
   IF(J_V="SI",(Datos!K31-Datos!U31)/Datos!U31,(Datos!K31+Datos!AA31-(Datos!U31+Datos!AI31))/(Datos!U31+Datos!AI31))
     ),IF(J_V="SI",(Datos!K31-Datos!U31)/Datos!U31,(Datos!K31+Datos!AA31-(Datos!U31+Datos!AI31))/(Datos!U31+Datos!AI31))," - ")</f>
        <v>8.0044638328091708E-2</v>
      </c>
      <c r="G31" s="410">
        <f>IF(ISNUMBER(
   IF(J_V="SI",(Datos!L31-Datos!V31)/Datos!V31,(Datos!L31+Datos!AB31-(Datos!V31+Datos!AJ31))/(Datos!V31+Datos!AJ31))
     ),IF(J_V="SI",(Datos!L31-Datos!V31)/Datos!V31,(Datos!L31+Datos!AB31-(Datos!V31+Datos!AJ31))/(Datos!V31+Datos!AJ31))," - ")</f>
        <v>0.38988043666608907</v>
      </c>
      <c r="H31" s="411">
        <f>IF(ISNUMBER((Datos!M31-Datos!W31)/Datos!W31),(Datos!M31-Datos!W31)/Datos!W31," - ")</f>
        <v>1.7932489451476793E-2</v>
      </c>
      <c r="I31" s="408">
        <f>IF(ISNUMBER((Tasas!C31-Datos!BE31)/Datos!BE31),(Tasas!C31-Datos!BE31)/Datos!BE31," - ")</f>
        <v>0.28687314148202497</v>
      </c>
      <c r="J31" s="409">
        <f>IF(ISNUMBER((Tasas!D31-Datos!BF31)/Datos!BF31),(Tasas!D31-Datos!BF31)/Datos!BF31," - ")</f>
        <v>-0.58157278052014094</v>
      </c>
      <c r="K31" s="410">
        <f>IF(ISNUMBER((Tasas!E31-Datos!BG31)/Datos!BG31),(Tasas!E31-Datos!BG31)/Datos!BG31," - ")</f>
        <v>6.0568858186833838E-3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0.13568268692641935</v>
      </c>
      <c r="E33" s="303">
        <f t="shared" si="1"/>
        <v>9.2751077711528795E-2</v>
      </c>
      <c r="F33" s="303">
        <f t="shared" si="1"/>
        <v>2.9563545452082243E-2</v>
      </c>
      <c r="G33" s="304">
        <f t="shared" si="1"/>
        <v>0.11758542102606846</v>
      </c>
      <c r="H33" s="310">
        <f t="shared" si="1"/>
        <v>0.15124693786714932</v>
      </c>
      <c r="I33" s="302">
        <f t="shared" si="1"/>
        <v>0.41952158541213025</v>
      </c>
      <c r="J33" s="303">
        <f t="shared" si="1"/>
        <v>0.45228704365460898</v>
      </c>
      <c r="K33" s="304">
        <f t="shared" si="1"/>
        <v>0.12473960034748542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mNFXv/ctk1DdyY87IWkR1qsR7AmxKAaLA3eipz0VsBG2zLWEi7N7UKOgQs7Hyjo3UuThbcvf0OWXxPOBhOUCA==" saltValue="47c7VP5mf/ycsM8ce5Gkz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